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19440" windowHeight="13740" tabRatio="696"/>
  </bookViews>
  <sheets>
    <sheet name="tarifs" sheetId="1" r:id="rId1"/>
    <sheet name="tarifs pour 2 500 € bruts" sheetId="4" r:id="rId2"/>
    <sheet name="tarifs pour 5 000 € bruts" sheetId="9" r:id="rId3"/>
    <sheet name="tarifs pour 15 000 € bruts" sheetId="10" r:id="rId4"/>
    <sheet name="économie" sheetId="2" r:id="rId5"/>
    <sheet name="CCFT" sheetId="8" r:id="rId6"/>
    <sheet name="BS 2015" sheetId="7" r:id="rId7"/>
    <sheet name="plafonnement santé" sheetId="6" r:id="rId8"/>
    <sheet name="synthèse économie" sheetId="3" r:id="rId9"/>
    <sheet name="articles accord et précisions" sheetId="5" r:id="rId10"/>
  </sheets>
  <calcPr calcId="171026" refMode="R1C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2" i="6" l="1"/>
  <c r="G9" i="6"/>
  <c r="G6" i="6"/>
  <c r="G4" i="6"/>
  <c r="E12" i="6"/>
  <c r="E9" i="6"/>
  <c r="E6" i="6"/>
  <c r="E4" i="6"/>
  <c r="K29" i="2"/>
  <c r="F39" i="7"/>
  <c r="S26" i="7"/>
  <c r="Z26" i="7"/>
  <c r="J26" i="7"/>
  <c r="S27" i="7"/>
  <c r="Z27" i="7"/>
  <c r="J27" i="7"/>
  <c r="S28" i="7"/>
  <c r="Z28" i="7"/>
  <c r="J28" i="7"/>
  <c r="K26" i="7"/>
  <c r="S29" i="7"/>
  <c r="Z29" i="7"/>
  <c r="J29" i="7"/>
  <c r="S30" i="7"/>
  <c r="Z30" i="7"/>
  <c r="J30" i="7"/>
  <c r="S31" i="7"/>
  <c r="Z31" i="7"/>
  <c r="J31" i="7"/>
  <c r="K29" i="7"/>
  <c r="S32" i="7"/>
  <c r="Z32" i="7"/>
  <c r="J32" i="7"/>
  <c r="S33" i="7"/>
  <c r="Z33" i="7"/>
  <c r="J33" i="7"/>
  <c r="S34" i="7"/>
  <c r="Z34" i="7"/>
  <c r="J34" i="7"/>
  <c r="K32" i="7"/>
  <c r="K35" i="7"/>
  <c r="K26" i="2"/>
  <c r="K24" i="2"/>
  <c r="K23" i="2"/>
  <c r="L21" i="2"/>
  <c r="K21" i="2"/>
  <c r="L19" i="2"/>
  <c r="K19" i="2"/>
  <c r="L18" i="2"/>
  <c r="K18" i="2"/>
  <c r="R17" i="7"/>
  <c r="S17" i="7"/>
  <c r="T17" i="7"/>
  <c r="Y17" i="7"/>
  <c r="Z17" i="7"/>
  <c r="AA17" i="7"/>
  <c r="L17" i="7"/>
  <c r="R18" i="7"/>
  <c r="S18" i="7"/>
  <c r="T18" i="7"/>
  <c r="Y18" i="7"/>
  <c r="Z18" i="7"/>
  <c r="AA18" i="7"/>
  <c r="L18" i="7"/>
  <c r="R19" i="7"/>
  <c r="S19" i="7"/>
  <c r="T19" i="7"/>
  <c r="Y19" i="7"/>
  <c r="Z19" i="7"/>
  <c r="AA19" i="7"/>
  <c r="L19" i="7"/>
  <c r="M17" i="7"/>
  <c r="R20" i="7"/>
  <c r="S20" i="7"/>
  <c r="T20" i="7"/>
  <c r="Y20" i="7"/>
  <c r="Z20" i="7"/>
  <c r="AA20" i="7"/>
  <c r="L20" i="7"/>
  <c r="R21" i="7"/>
  <c r="S21" i="7"/>
  <c r="T21" i="7"/>
  <c r="Y21" i="7"/>
  <c r="Z21" i="7"/>
  <c r="AA21" i="7"/>
  <c r="L21" i="7"/>
  <c r="R22" i="7"/>
  <c r="S22" i="7"/>
  <c r="T22" i="7"/>
  <c r="Y22" i="7"/>
  <c r="Z22" i="7"/>
  <c r="AA22" i="7"/>
  <c r="L22" i="7"/>
  <c r="R23" i="7"/>
  <c r="S23" i="7"/>
  <c r="T23" i="7"/>
  <c r="Y23" i="7"/>
  <c r="Z23" i="7"/>
  <c r="AA23" i="7"/>
  <c r="L23" i="7"/>
  <c r="M20" i="7"/>
  <c r="N16" i="2"/>
  <c r="R11" i="7"/>
  <c r="S11" i="7"/>
  <c r="T11" i="7"/>
  <c r="Y11" i="7"/>
  <c r="Z11" i="7"/>
  <c r="AA11" i="7"/>
  <c r="L11" i="7"/>
  <c r="R12" i="7"/>
  <c r="S12" i="7"/>
  <c r="T12" i="7"/>
  <c r="Y12" i="7"/>
  <c r="Z12" i="7"/>
  <c r="AA12" i="7"/>
  <c r="L12" i="7"/>
  <c r="R13" i="7"/>
  <c r="S13" i="7"/>
  <c r="T13" i="7"/>
  <c r="Y13" i="7"/>
  <c r="Z13" i="7"/>
  <c r="AA13" i="7"/>
  <c r="L13" i="7"/>
  <c r="R14" i="7"/>
  <c r="S14" i="7"/>
  <c r="T14" i="7"/>
  <c r="Y14" i="7"/>
  <c r="Z14" i="7"/>
  <c r="AA14" i="7"/>
  <c r="L14" i="7"/>
  <c r="R15" i="7"/>
  <c r="S15" i="7"/>
  <c r="T15" i="7"/>
  <c r="Y15" i="7"/>
  <c r="Z15" i="7"/>
  <c r="AA15" i="7"/>
  <c r="L15" i="7"/>
  <c r="R16" i="7"/>
  <c r="S16" i="7"/>
  <c r="T16" i="7"/>
  <c r="Y16" i="7"/>
  <c r="Z16" i="7"/>
  <c r="AA16" i="7"/>
  <c r="L16" i="7"/>
  <c r="M11" i="7"/>
  <c r="M16" i="2"/>
  <c r="J17" i="7"/>
  <c r="J18" i="7"/>
  <c r="J19" i="7"/>
  <c r="K17" i="7"/>
  <c r="J20" i="7"/>
  <c r="J21" i="7"/>
  <c r="J22" i="7"/>
  <c r="J23" i="7"/>
  <c r="K20" i="7"/>
  <c r="L16" i="2"/>
  <c r="J11" i="7"/>
  <c r="J12" i="7"/>
  <c r="J13" i="7"/>
  <c r="J14" i="7"/>
  <c r="J15" i="7"/>
  <c r="J16" i="7"/>
  <c r="K11" i="7"/>
  <c r="K16" i="2"/>
  <c r="N14" i="2"/>
  <c r="M14" i="2"/>
  <c r="L14" i="2"/>
  <c r="K14" i="2"/>
  <c r="N13" i="2"/>
  <c r="M13" i="2"/>
  <c r="L13" i="2"/>
  <c r="K13" i="2"/>
  <c r="N5" i="2"/>
  <c r="C9" i="8"/>
  <c r="K5" i="2"/>
  <c r="G16" i="2"/>
  <c r="F16" i="2"/>
  <c r="G14" i="2"/>
  <c r="F14" i="2"/>
  <c r="G13" i="2"/>
  <c r="F13" i="2"/>
  <c r="D26" i="2"/>
  <c r="D24" i="2"/>
  <c r="D23" i="2"/>
  <c r="E21" i="2"/>
  <c r="D21" i="2"/>
  <c r="E19" i="2"/>
  <c r="D19" i="2"/>
  <c r="E18" i="2"/>
  <c r="D18" i="2"/>
  <c r="E16" i="2"/>
  <c r="D16" i="2"/>
  <c r="E14" i="2"/>
  <c r="D14" i="2"/>
  <c r="E13" i="2"/>
  <c r="D13" i="2"/>
  <c r="G5" i="2"/>
  <c r="D5" i="2"/>
  <c r="R27" i="10"/>
  <c r="K27" i="10"/>
  <c r="B27" i="10"/>
  <c r="K24" i="10"/>
  <c r="D24" i="10"/>
  <c r="B24" i="10"/>
  <c r="K22" i="10"/>
  <c r="D22" i="10"/>
  <c r="B22" i="10"/>
  <c r="K21" i="10"/>
  <c r="D21" i="10"/>
  <c r="B21" i="10"/>
  <c r="F40" i="7"/>
  <c r="O19" i="10"/>
  <c r="H19" i="10"/>
  <c r="V19" i="10"/>
  <c r="N19" i="10"/>
  <c r="M19" i="10"/>
  <c r="K19" i="10"/>
  <c r="G19" i="10"/>
  <c r="F19" i="10"/>
  <c r="D19" i="10"/>
  <c r="B19" i="10"/>
  <c r="O17" i="10"/>
  <c r="N17" i="10"/>
  <c r="G17" i="10"/>
  <c r="U17" i="10"/>
  <c r="M17" i="10"/>
  <c r="K17" i="10"/>
  <c r="H17" i="10"/>
  <c r="F17" i="10"/>
  <c r="T17" i="10"/>
  <c r="D17" i="10"/>
  <c r="R17" i="10"/>
  <c r="B17" i="10"/>
  <c r="M16" i="10"/>
  <c r="F16" i="10"/>
  <c r="T16" i="10"/>
  <c r="K16" i="10"/>
  <c r="K18" i="10"/>
  <c r="D16" i="10"/>
  <c r="D20" i="10"/>
  <c r="B16" i="10"/>
  <c r="O14" i="10"/>
  <c r="N14" i="10"/>
  <c r="G14" i="10"/>
  <c r="U14" i="10"/>
  <c r="M14" i="10"/>
  <c r="K14" i="10"/>
  <c r="H14" i="10"/>
  <c r="F14" i="10"/>
  <c r="D14" i="10"/>
  <c r="B14" i="10"/>
  <c r="O12" i="10"/>
  <c r="N12" i="10"/>
  <c r="M12" i="10"/>
  <c r="K12" i="10"/>
  <c r="H12" i="10"/>
  <c r="G12" i="10"/>
  <c r="F12" i="10"/>
  <c r="D12" i="10"/>
  <c r="B12" i="10"/>
  <c r="M11" i="10"/>
  <c r="K11" i="10"/>
  <c r="F11" i="10"/>
  <c r="D11" i="10"/>
  <c r="B11" i="10"/>
  <c r="W10" i="10"/>
  <c r="V10" i="10"/>
  <c r="U10" i="10"/>
  <c r="T10" i="10"/>
  <c r="S10" i="10"/>
  <c r="R10" i="10"/>
  <c r="P10" i="10"/>
  <c r="O10" i="10"/>
  <c r="N10" i="10"/>
  <c r="M10" i="10"/>
  <c r="L10" i="10"/>
  <c r="K10" i="10"/>
  <c r="I10" i="10"/>
  <c r="H10" i="10"/>
  <c r="G10" i="10"/>
  <c r="F10" i="10"/>
  <c r="E10" i="10"/>
  <c r="D10" i="10"/>
  <c r="V9" i="10"/>
  <c r="T9" i="10"/>
  <c r="R9" i="10"/>
  <c r="O9" i="10"/>
  <c r="M9" i="10"/>
  <c r="K9" i="10"/>
  <c r="H9" i="10"/>
  <c r="F9" i="10"/>
  <c r="D9" i="10"/>
  <c r="B9" i="10"/>
  <c r="B7" i="10"/>
  <c r="N5" i="10"/>
  <c r="G5" i="10"/>
  <c r="U5" i="10"/>
  <c r="K5" i="10"/>
  <c r="G6" i="10"/>
  <c r="G7" i="10"/>
  <c r="D5" i="10"/>
  <c r="D6" i="10"/>
  <c r="B5" i="10"/>
  <c r="U4" i="10"/>
  <c r="R4" i="10"/>
  <c r="N4" i="10"/>
  <c r="K4" i="10"/>
  <c r="G4" i="10"/>
  <c r="D4" i="10"/>
  <c r="B4" i="10"/>
  <c r="K2" i="10"/>
  <c r="D2" i="10"/>
  <c r="T14" i="10"/>
  <c r="H18" i="10"/>
  <c r="D25" i="10"/>
  <c r="R5" i="10"/>
  <c r="R6" i="10"/>
  <c r="O15" i="10"/>
  <c r="U12" i="10"/>
  <c r="R14" i="10"/>
  <c r="R21" i="10"/>
  <c r="K15" i="10"/>
  <c r="K20" i="10"/>
  <c r="V12" i="10"/>
  <c r="T19" i="10"/>
  <c r="T20" i="10"/>
  <c r="R22" i="10"/>
  <c r="N13" i="10"/>
  <c r="H15" i="10"/>
  <c r="M18" i="10"/>
  <c r="U19" i="10"/>
  <c r="U20" i="10"/>
  <c r="K25" i="10"/>
  <c r="R12" i="10"/>
  <c r="K13" i="10"/>
  <c r="G20" i="10"/>
  <c r="R19" i="10"/>
  <c r="H20" i="10"/>
  <c r="T12" i="10"/>
  <c r="M13" i="10"/>
  <c r="D23" i="10"/>
  <c r="D15" i="10"/>
  <c r="V14" i="10"/>
  <c r="V17" i="10"/>
  <c r="V18" i="10"/>
  <c r="R24" i="10"/>
  <c r="M15" i="10"/>
  <c r="R7" i="10"/>
  <c r="V20" i="10"/>
  <c r="U18" i="10"/>
  <c r="T18" i="10"/>
  <c r="U7" i="10"/>
  <c r="U6" i="10"/>
  <c r="K6" i="10"/>
  <c r="K7" i="10"/>
  <c r="O13" i="10"/>
  <c r="N15" i="10"/>
  <c r="N18" i="10"/>
  <c r="M20" i="10"/>
  <c r="K23" i="10"/>
  <c r="N6" i="10"/>
  <c r="N7" i="10"/>
  <c r="D13" i="10"/>
  <c r="O18" i="10"/>
  <c r="N20" i="10"/>
  <c r="R11" i="10"/>
  <c r="F13" i="10"/>
  <c r="D18" i="10"/>
  <c r="O20" i="10"/>
  <c r="T11" i="10"/>
  <c r="G13" i="10"/>
  <c r="F15" i="10"/>
  <c r="R16" i="10"/>
  <c r="F18" i="10"/>
  <c r="H13" i="10"/>
  <c r="G15" i="10"/>
  <c r="G18" i="10"/>
  <c r="F20" i="10"/>
  <c r="D7" i="10"/>
  <c r="F41" i="7"/>
  <c r="H41" i="7"/>
  <c r="H40" i="7"/>
  <c r="H39" i="7"/>
  <c r="R27" i="9"/>
  <c r="K27" i="9"/>
  <c r="B27" i="9"/>
  <c r="K24" i="9"/>
  <c r="D24" i="9"/>
  <c r="B24" i="9"/>
  <c r="K22" i="9"/>
  <c r="D22" i="9"/>
  <c r="B22" i="9"/>
  <c r="K21" i="9"/>
  <c r="K25" i="9"/>
  <c r="D21" i="9"/>
  <c r="D25" i="9"/>
  <c r="B21" i="9"/>
  <c r="O19" i="9"/>
  <c r="N19" i="9"/>
  <c r="M19" i="9"/>
  <c r="K19" i="9"/>
  <c r="H19" i="9"/>
  <c r="G19" i="9"/>
  <c r="F19" i="9"/>
  <c r="D19" i="9"/>
  <c r="B19" i="9"/>
  <c r="O17" i="9"/>
  <c r="N17" i="9"/>
  <c r="M17" i="9"/>
  <c r="K17" i="9"/>
  <c r="H17" i="9"/>
  <c r="G17" i="9"/>
  <c r="F17" i="9"/>
  <c r="D17" i="9"/>
  <c r="B17" i="9"/>
  <c r="M16" i="9"/>
  <c r="K16" i="9"/>
  <c r="K20" i="9"/>
  <c r="F16" i="9"/>
  <c r="H20" i="9"/>
  <c r="D16" i="9"/>
  <c r="B16" i="9"/>
  <c r="O14" i="9"/>
  <c r="N14" i="9"/>
  <c r="M14" i="9"/>
  <c r="K14" i="9"/>
  <c r="H14" i="9"/>
  <c r="G14" i="9"/>
  <c r="F14" i="9"/>
  <c r="D14" i="9"/>
  <c r="B14" i="9"/>
  <c r="O12" i="9"/>
  <c r="N12" i="9"/>
  <c r="M12" i="9"/>
  <c r="K12" i="9"/>
  <c r="H12" i="9"/>
  <c r="G12" i="9"/>
  <c r="F12" i="9"/>
  <c r="D12" i="9"/>
  <c r="B12" i="9"/>
  <c r="M11" i="9"/>
  <c r="K11" i="9"/>
  <c r="F11" i="9"/>
  <c r="G15" i="9"/>
  <c r="D11" i="9"/>
  <c r="B11" i="9"/>
  <c r="W10" i="9"/>
  <c r="V10" i="9"/>
  <c r="U10" i="9"/>
  <c r="T10" i="9"/>
  <c r="S10" i="9"/>
  <c r="R10" i="9"/>
  <c r="P10" i="9"/>
  <c r="O10" i="9"/>
  <c r="N10" i="9"/>
  <c r="M10" i="9"/>
  <c r="L10" i="9"/>
  <c r="K10" i="9"/>
  <c r="I10" i="9"/>
  <c r="H10" i="9"/>
  <c r="G10" i="9"/>
  <c r="F10" i="9"/>
  <c r="E10" i="9"/>
  <c r="D10" i="9"/>
  <c r="V9" i="9"/>
  <c r="T9" i="9"/>
  <c r="R9" i="9"/>
  <c r="O9" i="9"/>
  <c r="M9" i="9"/>
  <c r="K9" i="9"/>
  <c r="H9" i="9"/>
  <c r="F9" i="9"/>
  <c r="D9" i="9"/>
  <c r="B9" i="9"/>
  <c r="B7" i="9"/>
  <c r="N5" i="9"/>
  <c r="N6" i="9"/>
  <c r="K5" i="9"/>
  <c r="G5" i="9"/>
  <c r="G6" i="9"/>
  <c r="G7" i="9"/>
  <c r="D5" i="9"/>
  <c r="D6" i="9"/>
  <c r="D7" i="9"/>
  <c r="B5" i="9"/>
  <c r="U4" i="9"/>
  <c r="R4" i="9"/>
  <c r="N4" i="9"/>
  <c r="K4" i="9"/>
  <c r="G4" i="9"/>
  <c r="D4" i="9"/>
  <c r="B4" i="9"/>
  <c r="K2" i="9"/>
  <c r="D2" i="9"/>
  <c r="O28" i="4"/>
  <c r="O26" i="4"/>
  <c r="O23" i="4"/>
  <c r="O21" i="4"/>
  <c r="N28" i="4"/>
  <c r="N26" i="4"/>
  <c r="N23" i="4"/>
  <c r="N21" i="4"/>
  <c r="M28" i="4"/>
  <c r="M26" i="4"/>
  <c r="M25" i="4"/>
  <c r="M23" i="4"/>
  <c r="M21" i="4"/>
  <c r="M20" i="4"/>
  <c r="K28" i="4"/>
  <c r="K26" i="4"/>
  <c r="K25" i="4"/>
  <c r="K23" i="4"/>
  <c r="K21" i="4"/>
  <c r="K20" i="4"/>
  <c r="H28" i="4"/>
  <c r="H26" i="4"/>
  <c r="H23" i="4"/>
  <c r="H21" i="4"/>
  <c r="F21" i="4"/>
  <c r="G28" i="4"/>
  <c r="G26" i="4"/>
  <c r="G23" i="4"/>
  <c r="G21" i="4"/>
  <c r="F28" i="4"/>
  <c r="F26" i="4"/>
  <c r="F23" i="4"/>
  <c r="F25" i="4"/>
  <c r="F20" i="4"/>
  <c r="D28" i="4"/>
  <c r="D26" i="4"/>
  <c r="D25" i="4"/>
  <c r="D23" i="4"/>
  <c r="D21" i="4"/>
  <c r="D20" i="4"/>
  <c r="R23" i="10"/>
  <c r="R25" i="10"/>
  <c r="D15" i="9"/>
  <c r="K13" i="9"/>
  <c r="M18" i="9"/>
  <c r="R22" i="9"/>
  <c r="U14" i="9"/>
  <c r="R12" i="9"/>
  <c r="R19" i="9"/>
  <c r="R24" i="9"/>
  <c r="U5" i="9"/>
  <c r="U6" i="9"/>
  <c r="R15" i="10"/>
  <c r="R13" i="10"/>
  <c r="R20" i="10"/>
  <c r="R18" i="10"/>
  <c r="V15" i="10"/>
  <c r="U15" i="10"/>
  <c r="V13" i="10"/>
  <c r="T15" i="10"/>
  <c r="U13" i="10"/>
  <c r="T13" i="10"/>
  <c r="K15" i="9"/>
  <c r="H18" i="9"/>
  <c r="T19" i="9"/>
  <c r="O18" i="9"/>
  <c r="U19" i="9"/>
  <c r="D23" i="9"/>
  <c r="M13" i="9"/>
  <c r="F20" i="9"/>
  <c r="T12" i="9"/>
  <c r="V17" i="9"/>
  <c r="R14" i="9"/>
  <c r="H15" i="9"/>
  <c r="F18" i="9"/>
  <c r="U12" i="9"/>
  <c r="V14" i="9"/>
  <c r="T16" i="9"/>
  <c r="U17" i="9"/>
  <c r="V19" i="9"/>
  <c r="T14" i="9"/>
  <c r="R17" i="9"/>
  <c r="G20" i="9"/>
  <c r="N7" i="9"/>
  <c r="T17" i="9"/>
  <c r="G18" i="9"/>
  <c r="M15" i="9"/>
  <c r="D20" i="9"/>
  <c r="N20" i="9"/>
  <c r="V12" i="9"/>
  <c r="K18" i="9"/>
  <c r="K6" i="9"/>
  <c r="K7" i="9"/>
  <c r="O13" i="9"/>
  <c r="N15" i="9"/>
  <c r="N18" i="9"/>
  <c r="M20" i="9"/>
  <c r="K23" i="9"/>
  <c r="D13" i="9"/>
  <c r="O15" i="9"/>
  <c r="U7" i="9"/>
  <c r="R11" i="9"/>
  <c r="F13" i="9"/>
  <c r="D18" i="9"/>
  <c r="O20" i="9"/>
  <c r="R21" i="9"/>
  <c r="R5" i="9"/>
  <c r="T11" i="9"/>
  <c r="G13" i="9"/>
  <c r="F15" i="9"/>
  <c r="R16" i="9"/>
  <c r="H13" i="9"/>
  <c r="U18" i="9"/>
  <c r="N13" i="9"/>
  <c r="D27" i="4"/>
  <c r="N27" i="4"/>
  <c r="F24" i="4"/>
  <c r="K22" i="4"/>
  <c r="K29" i="4"/>
  <c r="H29" i="4"/>
  <c r="D24" i="4"/>
  <c r="N24" i="4"/>
  <c r="G29" i="4"/>
  <c r="K24" i="4"/>
  <c r="D29" i="4"/>
  <c r="K27" i="4"/>
  <c r="H22" i="4"/>
  <c r="O24" i="4"/>
  <c r="O27" i="4"/>
  <c r="F27" i="4"/>
  <c r="H24" i="4"/>
  <c r="M22" i="4"/>
  <c r="M29" i="4"/>
  <c r="F29" i="4"/>
  <c r="G22" i="4"/>
  <c r="G27" i="4"/>
  <c r="D22" i="4"/>
  <c r="N22" i="4"/>
  <c r="N29" i="4"/>
  <c r="G24" i="4"/>
  <c r="H27" i="4"/>
  <c r="O22" i="4"/>
  <c r="O29" i="4"/>
  <c r="M24" i="4"/>
  <c r="M27" i="4"/>
  <c r="F22" i="4"/>
  <c r="S21" i="2"/>
  <c r="S18" i="2"/>
  <c r="R21" i="2"/>
  <c r="R19" i="2"/>
  <c r="R18" i="2"/>
  <c r="S19" i="2"/>
  <c r="L22" i="2"/>
  <c r="T18" i="9"/>
  <c r="T20" i="9"/>
  <c r="U20" i="9"/>
  <c r="V20" i="9"/>
  <c r="V18" i="9"/>
  <c r="R7" i="9"/>
  <c r="R6" i="9"/>
  <c r="R23" i="9"/>
  <c r="R25" i="9"/>
  <c r="R20" i="9"/>
  <c r="R18" i="9"/>
  <c r="R15" i="9"/>
  <c r="R13" i="9"/>
  <c r="V15" i="9"/>
  <c r="U15" i="9"/>
  <c r="V13" i="9"/>
  <c r="T15" i="9"/>
  <c r="U13" i="9"/>
  <c r="T13" i="9"/>
  <c r="S22" i="2"/>
  <c r="S20" i="2"/>
  <c r="L20" i="2"/>
  <c r="E20" i="2"/>
  <c r="E22" i="2"/>
  <c r="B14" i="4"/>
  <c r="C7" i="8"/>
  <c r="D7" i="8"/>
  <c r="D9" i="8"/>
  <c r="D8" i="8"/>
  <c r="D6" i="8"/>
  <c r="D5" i="8"/>
  <c r="D4" i="8"/>
  <c r="E41" i="7"/>
  <c r="E40" i="7"/>
  <c r="Y32" i="7"/>
  <c r="Y34" i="7"/>
  <c r="Y33" i="7"/>
  <c r="W34" i="7"/>
  <c r="W33" i="7"/>
  <c r="R34" i="7"/>
  <c r="I34" i="7"/>
  <c r="R33" i="7"/>
  <c r="I33" i="7"/>
  <c r="F33" i="7"/>
  <c r="G33" i="7"/>
  <c r="P34" i="7"/>
  <c r="P33" i="7"/>
  <c r="U37" i="7"/>
  <c r="N37" i="7"/>
  <c r="V35" i="7"/>
  <c r="W35" i="7"/>
  <c r="O35" i="7"/>
  <c r="P35" i="7"/>
  <c r="E35" i="7"/>
  <c r="F34" i="7"/>
  <c r="G34" i="7"/>
  <c r="W32" i="7"/>
  <c r="R32" i="7"/>
  <c r="I32" i="7"/>
  <c r="P32" i="7"/>
  <c r="F32" i="7"/>
  <c r="G32" i="7"/>
  <c r="Y31" i="7"/>
  <c r="W31" i="7"/>
  <c r="R31" i="7"/>
  <c r="P31" i="7"/>
  <c r="F31" i="7"/>
  <c r="G31" i="7"/>
  <c r="Y30" i="7"/>
  <c r="W30" i="7"/>
  <c r="R30" i="7"/>
  <c r="P30" i="7"/>
  <c r="F30" i="7"/>
  <c r="G30" i="7"/>
  <c r="Y29" i="7"/>
  <c r="W29" i="7"/>
  <c r="R29" i="7"/>
  <c r="P29" i="7"/>
  <c r="F29" i="7"/>
  <c r="G29" i="7"/>
  <c r="Y28" i="7"/>
  <c r="R28" i="7"/>
  <c r="I28" i="7"/>
  <c r="W28" i="7"/>
  <c r="P28" i="7"/>
  <c r="F28" i="7"/>
  <c r="G28" i="7"/>
  <c r="Y27" i="7"/>
  <c r="W27" i="7"/>
  <c r="R27" i="7"/>
  <c r="P27" i="7"/>
  <c r="F27" i="7"/>
  <c r="Y26" i="7"/>
  <c r="W26" i="7"/>
  <c r="R26" i="7"/>
  <c r="P26" i="7"/>
  <c r="F26" i="7"/>
  <c r="G26" i="7"/>
  <c r="V24" i="7"/>
  <c r="O24" i="7"/>
  <c r="P24" i="7"/>
  <c r="F24" i="7"/>
  <c r="E24" i="7"/>
  <c r="W20" i="7"/>
  <c r="P20" i="7"/>
  <c r="G20" i="7"/>
  <c r="W17" i="7"/>
  <c r="P17" i="7"/>
  <c r="G17" i="7"/>
  <c r="W11" i="7"/>
  <c r="P11" i="7"/>
  <c r="G11" i="7"/>
  <c r="Q15" i="6"/>
  <c r="N15" i="6"/>
  <c r="K15" i="6"/>
  <c r="Q14" i="6"/>
  <c r="N14" i="6"/>
  <c r="K14" i="6"/>
  <c r="Q13" i="6"/>
  <c r="N13" i="6"/>
  <c r="K13" i="6"/>
  <c r="Q12" i="6"/>
  <c r="N12" i="6"/>
  <c r="K12" i="6"/>
  <c r="Q11" i="6"/>
  <c r="N11" i="6"/>
  <c r="K11" i="6"/>
  <c r="Q10" i="6"/>
  <c r="N10" i="6"/>
  <c r="K10" i="6"/>
  <c r="Q9" i="6"/>
  <c r="N9" i="6"/>
  <c r="K9" i="6"/>
  <c r="Q7" i="6"/>
  <c r="N7" i="6"/>
  <c r="K7" i="6"/>
  <c r="Q6" i="6"/>
  <c r="N6" i="6"/>
  <c r="K6" i="6"/>
  <c r="Q5" i="6"/>
  <c r="N5" i="6"/>
  <c r="K5" i="6"/>
  <c r="Q4" i="6"/>
  <c r="N4" i="6"/>
  <c r="K4" i="6"/>
  <c r="I17" i="7"/>
  <c r="I14" i="7"/>
  <c r="I23" i="7"/>
  <c r="O37" i="7"/>
  <c r="P37" i="7"/>
  <c r="I20" i="7"/>
  <c r="E37" i="7"/>
  <c r="I11" i="7"/>
  <c r="V37" i="7"/>
  <c r="W37" i="7"/>
  <c r="I31" i="7"/>
  <c r="R24" i="7"/>
  <c r="I16" i="7"/>
  <c r="I26" i="7"/>
  <c r="I27" i="7"/>
  <c r="I13" i="7"/>
  <c r="Y35" i="7"/>
  <c r="Y24" i="7"/>
  <c r="G24" i="7"/>
  <c r="I29" i="7"/>
  <c r="I30" i="7"/>
  <c r="F35" i="7"/>
  <c r="G35" i="7"/>
  <c r="R35" i="7"/>
  <c r="I15" i="7"/>
  <c r="I18" i="7"/>
  <c r="I21" i="7"/>
  <c r="G27" i="7"/>
  <c r="I19" i="7"/>
  <c r="I22" i="7"/>
  <c r="W24" i="7"/>
  <c r="I12" i="7"/>
  <c r="R37" i="7"/>
  <c r="Y37" i="7"/>
  <c r="I35" i="7"/>
  <c r="F37" i="7"/>
  <c r="G37" i="7"/>
  <c r="I24" i="7"/>
  <c r="D2" i="3"/>
  <c r="E2" i="3"/>
  <c r="G2" i="3"/>
  <c r="H2" i="3"/>
  <c r="I2" i="3"/>
  <c r="D4" i="3"/>
  <c r="E4" i="3"/>
  <c r="G4" i="3"/>
  <c r="H4" i="3"/>
  <c r="D5" i="3"/>
  <c r="E5" i="3"/>
  <c r="G5" i="3"/>
  <c r="H5" i="3"/>
  <c r="D6" i="3"/>
  <c r="E6" i="3"/>
  <c r="G6" i="3"/>
  <c r="H6" i="3"/>
  <c r="D7" i="3"/>
  <c r="E7" i="3"/>
  <c r="G7" i="3"/>
  <c r="H7" i="3"/>
  <c r="D8" i="3"/>
  <c r="E8" i="3"/>
  <c r="G8" i="3"/>
  <c r="H8" i="3"/>
  <c r="C10" i="3"/>
  <c r="D10" i="3"/>
  <c r="E10" i="3"/>
  <c r="F10" i="3"/>
  <c r="G10" i="3"/>
  <c r="H10" i="3"/>
  <c r="I10" i="3"/>
  <c r="C11" i="3"/>
  <c r="D11" i="3"/>
  <c r="E11" i="3"/>
  <c r="F11" i="3"/>
  <c r="G11" i="3"/>
  <c r="H11" i="3"/>
  <c r="G13" i="3"/>
  <c r="H13" i="3"/>
  <c r="G14" i="3"/>
  <c r="H14" i="3"/>
  <c r="G15" i="3"/>
  <c r="H15" i="3"/>
  <c r="G16" i="3"/>
  <c r="H16" i="3"/>
  <c r="G17" i="3"/>
  <c r="H17" i="3"/>
  <c r="E19" i="3"/>
  <c r="F19" i="3"/>
  <c r="G19" i="3"/>
  <c r="H19" i="3"/>
  <c r="E20" i="3"/>
  <c r="F20" i="3"/>
  <c r="G20" i="3"/>
  <c r="H20" i="3"/>
  <c r="D21" i="3"/>
  <c r="E21" i="3"/>
  <c r="F21" i="3"/>
  <c r="G21" i="3"/>
  <c r="H21" i="3"/>
  <c r="E22" i="3"/>
  <c r="F22" i="3"/>
  <c r="G22" i="3"/>
  <c r="H22" i="3"/>
  <c r="D23" i="3"/>
  <c r="E23" i="3"/>
  <c r="F23" i="3"/>
  <c r="G23" i="3"/>
  <c r="H23" i="3"/>
  <c r="D27" i="3"/>
  <c r="E27" i="3"/>
  <c r="F27" i="3"/>
  <c r="G27" i="3"/>
  <c r="H27" i="3"/>
  <c r="D29" i="3"/>
  <c r="E29" i="3"/>
  <c r="F29" i="3"/>
  <c r="G29" i="3"/>
  <c r="H29" i="3"/>
  <c r="W26" i="2"/>
  <c r="H28" i="3"/>
  <c r="V26" i="2"/>
  <c r="G28" i="3"/>
  <c r="U26" i="2"/>
  <c r="F28" i="3"/>
  <c r="T26" i="2"/>
  <c r="E28" i="3"/>
  <c r="S26" i="2"/>
  <c r="D28" i="3"/>
  <c r="W24" i="2"/>
  <c r="H26" i="3"/>
  <c r="V24" i="2"/>
  <c r="G26" i="3"/>
  <c r="U24" i="2"/>
  <c r="F26" i="3"/>
  <c r="T24" i="2"/>
  <c r="E26" i="3"/>
  <c r="S24" i="2"/>
  <c r="D26" i="3"/>
  <c r="W23" i="2"/>
  <c r="H25" i="3"/>
  <c r="V23" i="2"/>
  <c r="G25" i="3"/>
  <c r="U23" i="2"/>
  <c r="F25" i="3"/>
  <c r="T23" i="2"/>
  <c r="E25" i="3"/>
  <c r="S23" i="2"/>
  <c r="D25" i="3"/>
  <c r="D22" i="3"/>
  <c r="D20" i="3"/>
  <c r="D19" i="3"/>
  <c r="P12" i="2"/>
  <c r="O12" i="2"/>
  <c r="N12" i="2"/>
  <c r="M12" i="2"/>
  <c r="L12" i="2"/>
  <c r="K12" i="2"/>
  <c r="O11" i="2"/>
  <c r="M11" i="2"/>
  <c r="K11" i="2"/>
  <c r="K30" i="2"/>
  <c r="D30" i="2"/>
  <c r="N4" i="2"/>
  <c r="K4" i="2"/>
  <c r="I12" i="2"/>
  <c r="H12" i="2"/>
  <c r="G12" i="2"/>
  <c r="F12" i="2"/>
  <c r="E12" i="2"/>
  <c r="D12" i="2"/>
  <c r="H11" i="2"/>
  <c r="F11" i="2"/>
  <c r="D11" i="2"/>
  <c r="G4" i="2"/>
  <c r="D4" i="2"/>
  <c r="U4" i="2"/>
  <c r="F2" i="3"/>
  <c r="R4" i="2"/>
  <c r="C2" i="3"/>
  <c r="R42" i="4"/>
  <c r="R5" i="1"/>
  <c r="R6" i="1"/>
  <c r="K7" i="1"/>
  <c r="N7" i="1"/>
  <c r="G7" i="1"/>
  <c r="D7" i="1"/>
  <c r="I37" i="7"/>
  <c r="U5" i="1"/>
  <c r="U7" i="1"/>
  <c r="R7" i="1"/>
  <c r="U6" i="1"/>
  <c r="B29" i="2"/>
  <c r="F12" i="6"/>
  <c r="F9" i="6"/>
  <c r="F6" i="6"/>
  <c r="F4" i="6"/>
  <c r="G4" i="4"/>
  <c r="B26" i="2"/>
  <c r="B24" i="2"/>
  <c r="B23" i="2"/>
  <c r="B21" i="2"/>
  <c r="B19" i="2"/>
  <c r="B18" i="2"/>
  <c r="B16" i="2"/>
  <c r="B14" i="2"/>
  <c r="B13" i="2"/>
  <c r="B11" i="2"/>
  <c r="B8" i="2"/>
  <c r="B5" i="2"/>
  <c r="B4" i="2"/>
  <c r="H4" i="6"/>
  <c r="H6" i="6"/>
  <c r="J6" i="6"/>
  <c r="H9" i="6"/>
  <c r="H12" i="6"/>
  <c r="J12" i="6"/>
  <c r="K42" i="4"/>
  <c r="B42" i="4"/>
  <c r="R40" i="4"/>
  <c r="B40" i="4"/>
  <c r="R39" i="4"/>
  <c r="B39" i="4"/>
  <c r="R38" i="4"/>
  <c r="B38" i="4"/>
  <c r="R37" i="4"/>
  <c r="B37" i="4"/>
  <c r="R36" i="4"/>
  <c r="B36" i="4"/>
  <c r="R35" i="4"/>
  <c r="B35" i="4"/>
  <c r="K33" i="4"/>
  <c r="D33" i="4"/>
  <c r="B33" i="4"/>
  <c r="K31" i="4"/>
  <c r="D31" i="4"/>
  <c r="B31" i="4"/>
  <c r="K30" i="4"/>
  <c r="D30" i="4"/>
  <c r="B30" i="4"/>
  <c r="B28" i="4"/>
  <c r="B26" i="4"/>
  <c r="B25" i="4"/>
  <c r="B23" i="4"/>
  <c r="B21" i="4"/>
  <c r="B20" i="4"/>
  <c r="W19" i="4"/>
  <c r="V19" i="4"/>
  <c r="U19" i="4"/>
  <c r="T19" i="4"/>
  <c r="S19" i="4"/>
  <c r="R19" i="4"/>
  <c r="P19" i="4"/>
  <c r="O19" i="4"/>
  <c r="N19" i="4"/>
  <c r="M19" i="4"/>
  <c r="L19" i="4"/>
  <c r="K19" i="4"/>
  <c r="I19" i="4"/>
  <c r="H19" i="4"/>
  <c r="G19" i="4"/>
  <c r="F19" i="4"/>
  <c r="E19" i="4"/>
  <c r="D19" i="4"/>
  <c r="V18" i="4"/>
  <c r="T18" i="4"/>
  <c r="R18" i="4"/>
  <c r="O18" i="4"/>
  <c r="M18" i="4"/>
  <c r="K18" i="4"/>
  <c r="H18" i="4"/>
  <c r="F18" i="4"/>
  <c r="D18" i="4"/>
  <c r="B18" i="4"/>
  <c r="D16" i="4"/>
  <c r="D15" i="4"/>
  <c r="D14" i="4"/>
  <c r="N13" i="4"/>
  <c r="K13" i="4"/>
  <c r="G13" i="4"/>
  <c r="D13" i="4"/>
  <c r="B13" i="4"/>
  <c r="N12" i="4"/>
  <c r="G12" i="4"/>
  <c r="U12" i="4"/>
  <c r="K12" i="4"/>
  <c r="D12" i="4"/>
  <c r="B12" i="4"/>
  <c r="N11" i="4"/>
  <c r="K11" i="4"/>
  <c r="G11" i="4"/>
  <c r="D11" i="4"/>
  <c r="B11" i="4"/>
  <c r="N10" i="4"/>
  <c r="K10" i="4"/>
  <c r="G10" i="4"/>
  <c r="D10" i="4"/>
  <c r="B10" i="4"/>
  <c r="N9" i="4"/>
  <c r="K9" i="4"/>
  <c r="G9" i="4"/>
  <c r="D9" i="4"/>
  <c r="B9" i="4"/>
  <c r="N8" i="4"/>
  <c r="K8" i="4"/>
  <c r="G8" i="4"/>
  <c r="D8" i="4"/>
  <c r="B8" i="4"/>
  <c r="B7" i="4"/>
  <c r="N5" i="4"/>
  <c r="N6" i="4"/>
  <c r="K5" i="4"/>
  <c r="K6" i="4"/>
  <c r="G5" i="4"/>
  <c r="G6" i="4"/>
  <c r="D5" i="4"/>
  <c r="D6" i="4"/>
  <c r="B5" i="4"/>
  <c r="U4" i="4"/>
  <c r="R4" i="4"/>
  <c r="N4" i="4"/>
  <c r="K4" i="4"/>
  <c r="D4" i="4"/>
  <c r="B4" i="4"/>
  <c r="K2" i="4"/>
  <c r="D2" i="4"/>
  <c r="R18" i="1"/>
  <c r="T18" i="1"/>
  <c r="V18" i="1"/>
  <c r="R19" i="1"/>
  <c r="S19" i="1"/>
  <c r="T19" i="1"/>
  <c r="U19" i="1"/>
  <c r="V19" i="1"/>
  <c r="W19" i="1"/>
  <c r="K18" i="1"/>
  <c r="M18" i="1"/>
  <c r="O18" i="1"/>
  <c r="K19" i="1"/>
  <c r="L19" i="1"/>
  <c r="M19" i="1"/>
  <c r="N19" i="1"/>
  <c r="O19" i="1"/>
  <c r="P19" i="1"/>
  <c r="R4" i="1"/>
  <c r="U4" i="1"/>
  <c r="K4" i="1"/>
  <c r="N4" i="1"/>
  <c r="K34" i="1"/>
  <c r="K32" i="1"/>
  <c r="O29" i="1"/>
  <c r="N29" i="1"/>
  <c r="M29" i="1"/>
  <c r="K29" i="1"/>
  <c r="O27" i="1"/>
  <c r="N27" i="1"/>
  <c r="M27" i="1"/>
  <c r="K27" i="1"/>
  <c r="O24" i="1"/>
  <c r="N24" i="1"/>
  <c r="M24" i="1"/>
  <c r="K24" i="1"/>
  <c r="O22" i="1"/>
  <c r="N22" i="1"/>
  <c r="M22" i="1"/>
  <c r="K22" i="1"/>
  <c r="D32" i="4"/>
  <c r="D34" i="4"/>
  <c r="K34" i="4"/>
  <c r="K32" i="4"/>
  <c r="U10" i="4"/>
  <c r="R25" i="4"/>
  <c r="U9" i="4"/>
  <c r="U11" i="4"/>
  <c r="D7" i="4"/>
  <c r="R11" i="4"/>
  <c r="R13" i="4"/>
  <c r="U13" i="4"/>
  <c r="I4" i="6"/>
  <c r="R8" i="4"/>
  <c r="R10" i="4"/>
  <c r="U8" i="4"/>
  <c r="K7" i="4"/>
  <c r="R9" i="4"/>
  <c r="R12" i="4"/>
  <c r="I9" i="6"/>
  <c r="I12" i="6"/>
  <c r="I6" i="6"/>
  <c r="J9" i="6"/>
  <c r="J4" i="6"/>
  <c r="U5" i="2"/>
  <c r="F4" i="3"/>
  <c r="R20" i="4"/>
  <c r="T25" i="4"/>
  <c r="N7" i="4"/>
  <c r="R31" i="4"/>
  <c r="G7" i="4"/>
  <c r="T20" i="4"/>
  <c r="R30" i="4"/>
  <c r="U21" i="4"/>
  <c r="T23" i="4"/>
  <c r="T26" i="4"/>
  <c r="R28" i="4"/>
  <c r="R5" i="4"/>
  <c r="V21" i="4"/>
  <c r="U23" i="4"/>
  <c r="U26" i="4"/>
  <c r="T28" i="4"/>
  <c r="U5" i="4"/>
  <c r="R21" i="4"/>
  <c r="V23" i="4"/>
  <c r="V26" i="4"/>
  <c r="U28" i="4"/>
  <c r="R33" i="4"/>
  <c r="T21" i="4"/>
  <c r="R23" i="4"/>
  <c r="R26" i="4"/>
  <c r="V28" i="4"/>
  <c r="U11" i="1"/>
  <c r="R11" i="1"/>
  <c r="U10" i="1"/>
  <c r="R10" i="1"/>
  <c r="U13" i="1"/>
  <c r="R13" i="1"/>
  <c r="R34" i="4"/>
  <c r="R32" i="4"/>
  <c r="U22" i="4"/>
  <c r="T22" i="4"/>
  <c r="V24" i="4"/>
  <c r="U24" i="4"/>
  <c r="T24" i="4"/>
  <c r="V22" i="4"/>
  <c r="R29" i="4"/>
  <c r="R27" i="4"/>
  <c r="U29" i="4"/>
  <c r="T29" i="4"/>
  <c r="V27" i="4"/>
  <c r="U27" i="4"/>
  <c r="T27" i="4"/>
  <c r="V29" i="4"/>
  <c r="R22" i="4"/>
  <c r="R24" i="4"/>
  <c r="U6" i="4"/>
  <c r="U7" i="4"/>
  <c r="R6" i="4"/>
  <c r="R7" i="4"/>
  <c r="AA33" i="7"/>
  <c r="AA27" i="7"/>
  <c r="AA28" i="7"/>
  <c r="AA29" i="7"/>
  <c r="AA34" i="7"/>
  <c r="AA32" i="7"/>
  <c r="AA30" i="7"/>
  <c r="AA31" i="7"/>
  <c r="T28" i="7"/>
  <c r="L28" i="7"/>
  <c r="AA24" i="7"/>
  <c r="Z24" i="7"/>
  <c r="S35" i="7"/>
  <c r="T26" i="7"/>
  <c r="T34" i="7"/>
  <c r="L34" i="7"/>
  <c r="T33" i="7"/>
  <c r="L33" i="7"/>
  <c r="T27" i="7"/>
  <c r="L27" i="7"/>
  <c r="T29" i="7"/>
  <c r="L29" i="7"/>
  <c r="S24" i="7"/>
  <c r="T30" i="7"/>
  <c r="L30" i="7"/>
  <c r="AA26" i="7"/>
  <c r="AA35" i="7"/>
  <c r="Z35" i="7"/>
  <c r="T32" i="7"/>
  <c r="L32" i="7"/>
  <c r="T31" i="7"/>
  <c r="L31" i="7"/>
  <c r="M29" i="7"/>
  <c r="Z37" i="7"/>
  <c r="J35" i="7"/>
  <c r="AA37" i="7"/>
  <c r="T24" i="7"/>
  <c r="L12" i="6"/>
  <c r="L6" i="6"/>
  <c r="L26" i="7"/>
  <c r="T35" i="7"/>
  <c r="J24" i="7"/>
  <c r="J37" i="7"/>
  <c r="M32" i="7"/>
  <c r="S37" i="7"/>
  <c r="T37" i="7"/>
  <c r="L24" i="7"/>
  <c r="M24" i="7"/>
  <c r="M14" i="6"/>
  <c r="M12" i="6"/>
  <c r="M15" i="6"/>
  <c r="M13" i="6"/>
  <c r="K24" i="7"/>
  <c r="P15" i="6"/>
  <c r="R15" i="6"/>
  <c r="P7" i="6"/>
  <c r="R7" i="6"/>
  <c r="P6" i="6"/>
  <c r="R6" i="6"/>
  <c r="P13" i="6"/>
  <c r="R13" i="6"/>
  <c r="M6" i="6"/>
  <c r="P12" i="6"/>
  <c r="R12" i="6"/>
  <c r="P14" i="6"/>
  <c r="R14" i="6"/>
  <c r="M7" i="6"/>
  <c r="M26" i="7"/>
  <c r="M35" i="7"/>
  <c r="L35" i="7"/>
  <c r="O7" i="6"/>
  <c r="T7" i="6"/>
  <c r="S7" i="6"/>
  <c r="K37" i="7"/>
  <c r="C20" i="3"/>
  <c r="S13" i="6"/>
  <c r="O13" i="6"/>
  <c r="T13" i="6"/>
  <c r="R24" i="2"/>
  <c r="X24" i="2"/>
  <c r="S15" i="6"/>
  <c r="O15" i="6"/>
  <c r="T15" i="6"/>
  <c r="O12" i="6"/>
  <c r="T12" i="6"/>
  <c r="S12" i="6"/>
  <c r="D22" i="2"/>
  <c r="D25" i="2"/>
  <c r="S6" i="6"/>
  <c r="O6" i="6"/>
  <c r="T6" i="6"/>
  <c r="O14" i="6"/>
  <c r="T14" i="6"/>
  <c r="S14" i="6"/>
  <c r="M37" i="7"/>
  <c r="L37" i="7"/>
  <c r="R13" i="2"/>
  <c r="C13" i="3"/>
  <c r="G17" i="2"/>
  <c r="D17" i="2"/>
  <c r="G15" i="2"/>
  <c r="U13" i="2"/>
  <c r="F13" i="3"/>
  <c r="S13" i="2"/>
  <c r="D13" i="3"/>
  <c r="N15" i="2"/>
  <c r="U14" i="2"/>
  <c r="E17" i="2"/>
  <c r="R16" i="2"/>
  <c r="C16" i="3"/>
  <c r="K17" i="2"/>
  <c r="L17" i="2"/>
  <c r="S16" i="2"/>
  <c r="D16" i="3"/>
  <c r="E15" i="2"/>
  <c r="U16" i="2"/>
  <c r="N17" i="2"/>
  <c r="D15" i="2"/>
  <c r="R14" i="2"/>
  <c r="K15" i="2"/>
  <c r="S14" i="2"/>
  <c r="D14" i="3"/>
  <c r="L15" i="2"/>
  <c r="U15" i="6"/>
  <c r="V15" i="6"/>
  <c r="W15" i="6"/>
  <c r="X15" i="6"/>
  <c r="D20" i="2"/>
  <c r="U14" i="6"/>
  <c r="V14" i="6"/>
  <c r="W14" i="6"/>
  <c r="X14" i="6"/>
  <c r="U7" i="6"/>
  <c r="V7" i="6"/>
  <c r="W7" i="6"/>
  <c r="X7" i="6"/>
  <c r="D27" i="2"/>
  <c r="X18" i="2"/>
  <c r="I19" i="3"/>
  <c r="K22" i="2"/>
  <c r="R26" i="2"/>
  <c r="C28" i="3"/>
  <c r="R23" i="2"/>
  <c r="X23" i="2"/>
  <c r="I25" i="3"/>
  <c r="C22" i="3"/>
  <c r="K27" i="2"/>
  <c r="U13" i="6"/>
  <c r="V13" i="6"/>
  <c r="W13" i="6"/>
  <c r="X13" i="6"/>
  <c r="C26" i="3"/>
  <c r="K25" i="2"/>
  <c r="U12" i="6"/>
  <c r="V12" i="6"/>
  <c r="W12" i="6"/>
  <c r="X12" i="6"/>
  <c r="L9" i="6"/>
  <c r="L4" i="6"/>
  <c r="K20" i="2"/>
  <c r="U6" i="6"/>
  <c r="V6" i="6"/>
  <c r="W6" i="6"/>
  <c r="X6" i="6"/>
  <c r="X19" i="2"/>
  <c r="I20" i="3"/>
  <c r="U15" i="2"/>
  <c r="F15" i="3"/>
  <c r="F14" i="3"/>
  <c r="I26" i="3"/>
  <c r="U17" i="2"/>
  <c r="F17" i="3"/>
  <c r="F16" i="3"/>
  <c r="R15" i="2"/>
  <c r="C15" i="3"/>
  <c r="C14" i="3"/>
  <c r="T13" i="2"/>
  <c r="E13" i="3"/>
  <c r="R17" i="2"/>
  <c r="C17" i="3"/>
  <c r="M17" i="2"/>
  <c r="T16" i="2"/>
  <c r="E16" i="3"/>
  <c r="S15" i="2"/>
  <c r="D15" i="3"/>
  <c r="S17" i="2"/>
  <c r="D17" i="3"/>
  <c r="T14" i="2"/>
  <c r="M15" i="2"/>
  <c r="F17" i="2"/>
  <c r="F15" i="2"/>
  <c r="R5" i="2"/>
  <c r="H29" i="1"/>
  <c r="H27" i="1"/>
  <c r="H24" i="1"/>
  <c r="H22" i="1"/>
  <c r="U12" i="1"/>
  <c r="R12" i="1"/>
  <c r="D34" i="1"/>
  <c r="D32" i="1"/>
  <c r="G29" i="1"/>
  <c r="F29" i="1"/>
  <c r="D29" i="1"/>
  <c r="G27" i="1"/>
  <c r="F27" i="1"/>
  <c r="D27" i="1"/>
  <c r="G24" i="1"/>
  <c r="F24" i="1"/>
  <c r="G22" i="1"/>
  <c r="F22" i="1"/>
  <c r="D24" i="1"/>
  <c r="D22" i="1"/>
  <c r="Y12" i="6"/>
  <c r="N8" i="2"/>
  <c r="C25" i="3"/>
  <c r="X21" i="2"/>
  <c r="X22" i="2"/>
  <c r="I23" i="3"/>
  <c r="C19" i="3"/>
  <c r="Y6" i="6"/>
  <c r="G8" i="2"/>
  <c r="G9" i="2"/>
  <c r="X26" i="2"/>
  <c r="I28" i="3"/>
  <c r="X25" i="2"/>
  <c r="I27" i="3"/>
  <c r="P10" i="6"/>
  <c r="R10" i="6"/>
  <c r="P9" i="6"/>
  <c r="P4" i="6"/>
  <c r="R4" i="6"/>
  <c r="M5" i="6"/>
  <c r="P11" i="6"/>
  <c r="R11" i="6"/>
  <c r="M4" i="6"/>
  <c r="P5" i="6"/>
  <c r="R5" i="6"/>
  <c r="M9" i="6"/>
  <c r="O9" i="6"/>
  <c r="M11" i="6"/>
  <c r="M10" i="6"/>
  <c r="X20" i="2"/>
  <c r="I21" i="3"/>
  <c r="X16" i="2"/>
  <c r="I16" i="3"/>
  <c r="X5" i="2"/>
  <c r="I4" i="3"/>
  <c r="C4" i="3"/>
  <c r="T15" i="2"/>
  <c r="E15" i="3"/>
  <c r="E14" i="3"/>
  <c r="T17" i="2"/>
  <c r="E17" i="3"/>
  <c r="X13" i="2"/>
  <c r="X14" i="2"/>
  <c r="I14" i="3"/>
  <c r="R22" i="2"/>
  <c r="C23" i="3"/>
  <c r="R27" i="2"/>
  <c r="C29" i="3"/>
  <c r="R25" i="2"/>
  <c r="C27" i="3"/>
  <c r="R20" i="2"/>
  <c r="C21" i="3"/>
  <c r="V23" i="1"/>
  <c r="V28" i="1"/>
  <c r="T25" i="1"/>
  <c r="R25" i="1"/>
  <c r="T20" i="1"/>
  <c r="R20" i="1"/>
  <c r="U9" i="1"/>
  <c r="R9" i="1"/>
  <c r="U8" i="1"/>
  <c r="R8" i="1"/>
  <c r="R40" i="1"/>
  <c r="R39" i="1"/>
  <c r="R38" i="1"/>
  <c r="R37" i="1"/>
  <c r="R36" i="1"/>
  <c r="R35" i="1"/>
  <c r="R30" i="1"/>
  <c r="I22" i="3"/>
  <c r="X27" i="2"/>
  <c r="I29" i="3"/>
  <c r="O4" i="6"/>
  <c r="T4" i="6"/>
  <c r="S4" i="6"/>
  <c r="S5" i="6"/>
  <c r="O5" i="6"/>
  <c r="T5" i="6"/>
  <c r="S10" i="6"/>
  <c r="O10" i="6"/>
  <c r="T10" i="6"/>
  <c r="S9" i="6"/>
  <c r="R9" i="6"/>
  <c r="T9" i="6"/>
  <c r="O11" i="6"/>
  <c r="T11" i="6"/>
  <c r="S11" i="6"/>
  <c r="G6" i="2"/>
  <c r="G7" i="2"/>
  <c r="N6" i="2"/>
  <c r="N7" i="2"/>
  <c r="N9" i="2"/>
  <c r="U8" i="2"/>
  <c r="X32" i="2"/>
  <c r="I34" i="3"/>
  <c r="X29" i="2"/>
  <c r="I13" i="3"/>
  <c r="X17" i="2"/>
  <c r="I17" i="3"/>
  <c r="X15" i="2"/>
  <c r="I15" i="3"/>
  <c r="X30" i="2"/>
  <c r="R33" i="1"/>
  <c r="U28" i="1"/>
  <c r="T26" i="1"/>
  <c r="R23" i="1"/>
  <c r="U26" i="1"/>
  <c r="U21" i="1"/>
  <c r="T28" i="1"/>
  <c r="U23" i="1"/>
  <c r="V21" i="1"/>
  <c r="R21" i="1"/>
  <c r="T21" i="1"/>
  <c r="V26" i="1"/>
  <c r="R31" i="1"/>
  <c r="R26" i="1"/>
  <c r="T23" i="1"/>
  <c r="R28" i="1"/>
  <c r="U5" i="6"/>
  <c r="V5" i="6"/>
  <c r="W5" i="6"/>
  <c r="X5" i="6"/>
  <c r="U11" i="6"/>
  <c r="V11" i="6"/>
  <c r="W11" i="6"/>
  <c r="X11" i="6"/>
  <c r="U4" i="6"/>
  <c r="V4" i="6"/>
  <c r="W4" i="6"/>
  <c r="X4" i="6"/>
  <c r="U9" i="6"/>
  <c r="V9" i="6"/>
  <c r="W9" i="6"/>
  <c r="X9" i="6"/>
  <c r="U10" i="6"/>
  <c r="V10" i="6"/>
  <c r="W10" i="6"/>
  <c r="X10" i="6"/>
  <c r="U6" i="2"/>
  <c r="U7" i="2"/>
  <c r="F6" i="3"/>
  <c r="F7" i="3"/>
  <c r="U9" i="2"/>
  <c r="F8" i="3"/>
  <c r="X33" i="2"/>
  <c r="I35" i="3"/>
  <c r="X35" i="2"/>
  <c r="I37" i="3"/>
  <c r="I31" i="3"/>
  <c r="X31" i="2"/>
  <c r="I33" i="3"/>
  <c r="I32" i="3"/>
  <c r="Y4" i="6"/>
  <c r="D6" i="2"/>
  <c r="D7" i="2"/>
  <c r="Y9" i="6"/>
  <c r="K6" i="2"/>
  <c r="K7" i="2"/>
  <c r="F5" i="3"/>
  <c r="K8" i="2"/>
  <c r="K9" i="2"/>
  <c r="D8" i="2"/>
  <c r="D9" i="2"/>
  <c r="R6" i="2"/>
  <c r="C5" i="3"/>
  <c r="R8" i="2"/>
  <c r="C7" i="3"/>
  <c r="R7" i="2"/>
  <c r="C6" i="3"/>
  <c r="X6" i="2"/>
  <c r="I5" i="3"/>
  <c r="X8" i="2"/>
  <c r="X9" i="2"/>
  <c r="I8" i="3"/>
  <c r="R9" i="2"/>
  <c r="C8" i="3"/>
  <c r="X36" i="2"/>
  <c r="X37" i="2"/>
  <c r="I39" i="3"/>
  <c r="X7" i="2"/>
  <c r="I6" i="3"/>
  <c r="I7" i="3"/>
  <c r="X38" i="2"/>
  <c r="I40" i="3"/>
  <c r="I38" i="3"/>
  <c r="X40" i="2"/>
  <c r="I43" i="3"/>
  <c r="X39" i="2"/>
  <c r="I41" i="3"/>
</calcChain>
</file>

<file path=xl/sharedStrings.xml><?xml version="1.0" encoding="utf-8"?>
<sst xmlns="http://schemas.openxmlformats.org/spreadsheetml/2006/main" count="245" uniqueCount="168">
  <si>
    <t>tarifs et taux mensuels</t>
  </si>
  <si>
    <t>évolution en %</t>
  </si>
  <si>
    <t>santé</t>
  </si>
  <si>
    <t>régime général</t>
  </si>
  <si>
    <t>régime local alsace moselle</t>
  </si>
  <si>
    <t>forfait régime famille de base</t>
  </si>
  <si>
    <t>part salariale (% salaire brut)</t>
  </si>
  <si>
    <t>part patronale</t>
  </si>
  <si>
    <t>conjoint sans mutuelle</t>
  </si>
  <si>
    <t>conjoint avec mutuelle</t>
  </si>
  <si>
    <t>sortant - famille</t>
  </si>
  <si>
    <t>sortant - conjoint</t>
  </si>
  <si>
    <t>retraité (base x 125%)</t>
  </si>
  <si>
    <t>retraité - conjoint</t>
  </si>
  <si>
    <t>surcomplémentaire</t>
  </si>
  <si>
    <t>option 1 : hospitalisation</t>
  </si>
  <si>
    <t>agent : 5,00 €</t>
  </si>
  <si>
    <t>sortant ou retraité : 6,25 € (125% du tarif agent)</t>
  </si>
  <si>
    <t>option 2 : consultations - actes médicaux</t>
  </si>
  <si>
    <t>option 3 : option 1 + option 2</t>
  </si>
  <si>
    <t>agent : 9,50 €</t>
  </si>
  <si>
    <r>
      <t>sortant ou retraité : 12,00 € (</t>
    </r>
    <r>
      <rPr>
        <sz val="8"/>
        <color rgb="FFFF0000"/>
        <rFont val="Arial"/>
        <family val="2"/>
      </rPr>
      <t>126,3% du tarif agent !</t>
    </r>
    <r>
      <rPr>
        <sz val="8"/>
        <color theme="1"/>
        <rFont val="Arial"/>
        <family val="2"/>
      </rPr>
      <t>)</t>
    </r>
  </si>
  <si>
    <t>prévoyance incapacité invalidité décès</t>
  </si>
  <si>
    <t>tranche A</t>
  </si>
  <si>
    <t>tranche B</t>
  </si>
  <si>
    <t>tranche C</t>
  </si>
  <si>
    <t>employé</t>
  </si>
  <si>
    <t>agent de maîtrise cadre</t>
  </si>
  <si>
    <t>agent de droit privé</t>
  </si>
  <si>
    <t>part salariale</t>
  </si>
  <si>
    <t>-</t>
  </si>
  <si>
    <t>agent de droit public</t>
  </si>
  <si>
    <t>maintien du revenu agent public</t>
  </si>
  <si>
    <t>dépendance 25 ans</t>
  </si>
  <si>
    <t>dépendance 26 ans</t>
  </si>
  <si>
    <t>dépendance 27 ans</t>
  </si>
  <si>
    <t>dépendance 52 ans</t>
  </si>
  <si>
    <t>dépendance 53 ans</t>
  </si>
  <si>
    <t>dépendance 54 ans</t>
  </si>
  <si>
    <t>légende couleurs</t>
  </si>
  <si>
    <t>augmentations supérieures ou égales à 30%</t>
  </si>
  <si>
    <t>les taux 2016 seront modifiés en 2017 !</t>
  </si>
  <si>
    <t>évolution part salariale santé = 25% évolution forfait</t>
  </si>
  <si>
    <r>
      <t xml:space="preserve">évolution </t>
    </r>
    <r>
      <rPr>
        <b/>
        <sz val="8"/>
        <color rgb="FFFF0000"/>
        <rFont val="Arial"/>
        <family val="2"/>
      </rPr>
      <t>annuelle</t>
    </r>
  </si>
  <si>
    <t>agent : 60 € / an</t>
  </si>
  <si>
    <t>sortant ou retraité : 75 € / an (125% du tarif agent)</t>
  </si>
  <si>
    <t>agent : 114 € / an</t>
  </si>
  <si>
    <r>
      <t>sortant ou retraité : 144 € / an (</t>
    </r>
    <r>
      <rPr>
        <sz val="8"/>
        <color rgb="FFFF0000"/>
        <rFont val="Arial"/>
        <family val="2"/>
      </rPr>
      <t>126,3% du tarif agent !</t>
    </r>
    <r>
      <rPr>
        <sz val="8"/>
        <color theme="1"/>
        <rFont val="Arial"/>
        <family val="2"/>
      </rPr>
      <t>)</t>
    </r>
  </si>
  <si>
    <t>augmentations &gt; 200 € annuels</t>
  </si>
  <si>
    <t>répartition différente de ce que prévoit l'accord !</t>
  </si>
  <si>
    <t>cotisations annuelles</t>
  </si>
  <si>
    <t>cotisations 2016</t>
  </si>
  <si>
    <t>cotisations 2017</t>
  </si>
  <si>
    <t>économie annuelle : cotisations 2017 moins cotisations 2016</t>
  </si>
  <si>
    <t>total</t>
  </si>
  <si>
    <t>part salariale plafonnée</t>
  </si>
  <si>
    <t>total prévoyance</t>
  </si>
  <si>
    <t>plafonnée à 60% du forfait de base</t>
  </si>
  <si>
    <t>plafonnée à 50% du forfait de base</t>
  </si>
  <si>
    <t>total santé + prévoyance</t>
  </si>
  <si>
    <t>DG x 5 ans &gt; déficit "consenti" sur la RGC (7 M€) !</t>
  </si>
  <si>
    <t>CCCFT Mutuelle Prévoyance</t>
  </si>
  <si>
    <t xml:space="preserve"> VF 20 05 2016 - effectifs au 31/12/2015</t>
  </si>
  <si>
    <t>privés et plublics</t>
  </si>
  <si>
    <t>page 7</t>
  </si>
  <si>
    <t>privés</t>
  </si>
  <si>
    <t>page 9</t>
  </si>
  <si>
    <t>publics</t>
  </si>
  <si>
    <t>agirc-arrco</t>
  </si>
  <si>
    <t>pages 10 et 13</t>
  </si>
  <si>
    <t>d'où optants</t>
  </si>
  <si>
    <t>sur privés</t>
  </si>
  <si>
    <t>régime local</t>
  </si>
  <si>
    <t>page 71</t>
  </si>
  <si>
    <t>d'où régime général</t>
  </si>
  <si>
    <r>
      <rPr>
        <b/>
        <sz val="8"/>
        <rFont val="Arial"/>
        <family val="2"/>
      </rPr>
      <t>bilan social 2015 :</t>
    </r>
    <r>
      <rPr>
        <b/>
        <sz val="8"/>
        <color rgb="FFFF0000"/>
        <rFont val="Arial"/>
        <family val="2"/>
      </rPr>
      <t xml:space="preserve"> les effectifs privés par qualifications détaillées page 19 ne correspondent pas avec ceux par statuts page 8 !? ; pas de tranche B pour les effectifs publics !? ; pas de salaire moyen pour les 2 femmes V A public - on leur calcule un salaire total sur celui des hommes !?</t>
    </r>
  </si>
  <si>
    <t>statuts et qualifications</t>
  </si>
  <si>
    <t>H - hommes</t>
  </si>
  <si>
    <t>F - femmes</t>
  </si>
  <si>
    <t>statuts page 8</t>
  </si>
  <si>
    <t>qualification détaillée page 19
rémunération annuelle brute moyenne
par qualification détaillée page 41</t>
  </si>
  <si>
    <t>effectifs</t>
  </si>
  <si>
    <t>salaire annuel brut moyen (inutilisé)</t>
  </si>
  <si>
    <t>salaire annuel brut total H + F</t>
  </si>
  <si>
    <t>dont tranche A</t>
  </si>
  <si>
    <t>total tranche A par statut</t>
  </si>
  <si>
    <t>dont tranche B</t>
  </si>
  <si>
    <t>total tranche B par statut</t>
  </si>
  <si>
    <t>salaire annuel brut moyen</t>
  </si>
  <si>
    <t>salaire annuel brut total
(salaire annuel brut moyen x effectifs p 19)</t>
  </si>
  <si>
    <t>p 8</t>
  </si>
  <si>
    <t>p 19</t>
  </si>
  <si>
    <t>delta</t>
  </si>
  <si>
    <t>privé</t>
  </si>
  <si>
    <t>employés</t>
  </si>
  <si>
    <t>agent</t>
  </si>
  <si>
    <t>agent qualifié</t>
  </si>
  <si>
    <t>agent hautement qualifié</t>
  </si>
  <si>
    <t>technicien qualifié</t>
  </si>
  <si>
    <t>technicien hautement qualifié</t>
  </si>
  <si>
    <t>technicien expérimenté</t>
  </si>
  <si>
    <t>agents de maîtrise</t>
  </si>
  <si>
    <t>professionnel / encadrant</t>
  </si>
  <si>
    <t>professionnel / encadrant qualifié</t>
  </si>
  <si>
    <t>professionnel / encadrant hautement qualifié</t>
  </si>
  <si>
    <t>cadres</t>
  </si>
  <si>
    <t>professionnel / encadrant confirmé</t>
  </si>
  <si>
    <t>professionnel / encadrant hautement confirmé</t>
  </si>
  <si>
    <t>professionnel / encadrant expérimenté</t>
  </si>
  <si>
    <t>cadre dirigeant</t>
  </si>
  <si>
    <t>total privé</t>
  </si>
  <si>
    <t>public</t>
  </si>
  <si>
    <t>niveau Ib</t>
  </si>
  <si>
    <t>niveau I</t>
  </si>
  <si>
    <t>niveau II</t>
  </si>
  <si>
    <t>niveau III</t>
  </si>
  <si>
    <t>niveau IV A</t>
  </si>
  <si>
    <t>niveau IV B</t>
  </si>
  <si>
    <t>niveau V A</t>
  </si>
  <si>
    <t>???</t>
  </si>
  <si>
    <t>niveau V B</t>
  </si>
  <si>
    <t>niveau V C</t>
  </si>
  <si>
    <t>total public</t>
  </si>
  <si>
    <t>total privé et public</t>
  </si>
  <si>
    <t>plafond annuel de la sécurité sociale en 2016</t>
  </si>
  <si>
    <t>plafonnement de la part salariale santé</t>
  </si>
  <si>
    <t>% plafond</t>
  </si>
  <si>
    <t>forfait</t>
  </si>
  <si>
    <t>plafond</t>
  </si>
  <si>
    <t>taux part salariale</t>
  </si>
  <si>
    <t>salaire mensuel brut maximum</t>
  </si>
  <si>
    <t>écart sur plafond</t>
  </si>
  <si>
    <t>salaire annuel brut maximum</t>
  </si>
  <si>
    <t>qualifications</t>
  </si>
  <si>
    <t>effectifs par régime en % du total des effectifs</t>
  </si>
  <si>
    <t>effectif H</t>
  </si>
  <si>
    <t>salaire moyen H</t>
  </si>
  <si>
    <t>salaire total H</t>
  </si>
  <si>
    <t>effectif F</t>
  </si>
  <si>
    <t>salaire moyen F</t>
  </si>
  <si>
    <t>salaire total F</t>
  </si>
  <si>
    <t>effectif total H + F</t>
  </si>
  <si>
    <t>salaire total H + F</t>
  </si>
  <si>
    <t>salaire mensuel moyen</t>
  </si>
  <si>
    <t>cotisation déplafonnée</t>
  </si>
  <si>
    <t>écart total</t>
  </si>
  <si>
    <t>total à déduire de la part salariale et à ajouter à la part patronale</t>
  </si>
  <si>
    <t>agents de droit privé</t>
  </si>
  <si>
    <t>agents de droit public</t>
  </si>
  <si>
    <t>agents de droit public - maintien du revenu</t>
  </si>
  <si>
    <r>
      <rPr>
        <b/>
        <sz val="8"/>
        <rFont val="Arial"/>
        <family val="2"/>
      </rPr>
      <t>-   légende couleurs :</t>
    </r>
    <r>
      <rPr>
        <sz val="8"/>
        <rFont val="Arial"/>
        <family val="2"/>
      </rPr>
      <t xml:space="preserve"> baisse de cotisations = nombre négatif rouge ; hausse de cotisations = nombre positif noir</t>
    </r>
  </si>
  <si>
    <r>
      <rPr>
        <b/>
        <sz val="8"/>
        <rFont val="Arial"/>
        <family val="2"/>
      </rPr>
      <t>-   santé :</t>
    </r>
    <r>
      <rPr>
        <sz val="8"/>
        <rFont val="Arial"/>
        <family val="2"/>
      </rPr>
      <t xml:space="preserve"> sources CCCFT - effectifs au 31 décembre 2015 ; effectif total p. 7 : 55 356</t>
    </r>
  </si>
  <si>
    <t>effectif régime local p. 71 : 2 049 ; d'où effectif régime général : 55 356 - 2 049 = 53 307</t>
  </si>
  <si>
    <t>2016 : part salariale plafonnée si salaire mensuel brut &gt; 6 883,69 € (régime général) ou 6 671,45 € (régime local)</t>
  </si>
  <si>
    <t>2017 : part salariale plafonnée si salaire mensuel brut &gt; 5 616,50 € (régime général) ou 5 088,63 € (régime local)</t>
  </si>
  <si>
    <t>plafond 2016 : 60% du forfait de base soit 70,90 € pour le régime général et 49,30 € pour le régime local</t>
  </si>
  <si>
    <t>plafond 2017 : 50% du forfait de base soit 57,85 € pour le régime général et 37,61 € pour le régime local</t>
  </si>
  <si>
    <t>NB : cette baisse des plafonds se traduira par une petite hausse des taux de part salariale pour tous les agents !</t>
  </si>
  <si>
    <r>
      <rPr>
        <b/>
        <sz val="8"/>
        <rFont val="Arial"/>
        <family val="2"/>
      </rPr>
      <t>-   prévoyance :</t>
    </r>
    <r>
      <rPr>
        <sz val="8"/>
        <rFont val="Arial"/>
        <family val="2"/>
      </rPr>
      <t xml:space="preserve"> sources BS 2015 - effectif par statuts p. 8 ; effectif par qualifications détaillées p. 19 ; salaires p. 41</t>
    </r>
  </si>
  <si>
    <t>part patronale sur 5 ans</t>
  </si>
  <si>
    <t>formules : salaires annuels bruts moyens x effectifs par sexes, tranches de salaire et qualifications détaillées</t>
  </si>
  <si>
    <t>NB : les effectifs privés par qualifications détaillées ne correspondent pas avec ceux par statuts (qualifications simples) !?</t>
  </si>
  <si>
    <t>pas de tranche B pour les effectifs publics !? pas de salaire moyen pour les 2 agentes publiques de niveau VA (nous calculons donc avec celui des hommes) !?</t>
  </si>
  <si>
    <r>
      <rPr>
        <b/>
        <sz val="8"/>
        <color theme="1"/>
        <rFont val="Calibri"/>
        <family val="2"/>
      </rPr>
      <t>Cotisation santé - agents</t>
    </r>
    <r>
      <rPr>
        <sz val="8"/>
        <color theme="1"/>
        <rFont val="Calibri"/>
        <family val="2"/>
      </rPr>
      <t xml:space="preserve">
art. 3.1 - Les cotisations relatives à la garantie mentionnée à l’article 3.2 ci-dessous sont exprimées de manière forfaitaire. Les cotisations relatives à cette garantie sont prises en charge annuellement à hauteur de 75 % de leur montant global par Pôle emploi et les 25 % restant à la charge de l’ensemble des agents en activité.
art. 3.2 - La cotisation individuelle correspond à un forfait fixé annuellement, dont la prise en charge est assurée par l’agent à hauteur d’un pourcentage de son salaire brut qui sera déterminé en fonction des coûts arrêtés à l’issue de la contractualisation.
La charge salariale de 25 % est supportée collectivement par les agents et n’est pas traduite sous forme d’un précompte forfaitaire mensuel, mais d’un taux exprimé en pourcentage du salaire brut mensuel de l’agent.
Ce taux est obtenu en divisant le forfait de base par le salaire brut moyen à Pôle emploi. Ce forfait de base est égal à 25 % du coût mensuel global du régime (charges salariales et patronales incluses).
Du fait de l’application d’un taux unique appliqué au salaire brut mensuel de chaque agent, la cotisation versée est proportionnelle aux gains de chacun. Cependant aucun agent ne peut mensuellement cotiser au-delà de 50% de ce forfait.
Le pourcentage retenu pour la première année est ensuite réajusté au 1er janvier de chaque année et ce, pour les 12 mois de l’année civile en cours, afin que la répartition moyenne de la prise en charge globale des cotisations soit maintenue, tel que prévu, à hauteur de 75 % pour Pôle emploi et de 25 % pour les agents.
art. 3.3 - La cotisation individuelle est exprimée sous la forme d’un montant forfaitaire </t>
    </r>
    <r>
      <rPr>
        <sz val="8"/>
        <color rgb="FFFF0000"/>
        <rFont val="Calibri"/>
        <family val="2"/>
      </rPr>
      <t>ré-estimée annuellement en fonction des résultats du régime</t>
    </r>
    <r>
      <rPr>
        <sz val="8"/>
        <color theme="1"/>
        <rFont val="Calibri"/>
        <family val="2"/>
      </rPr>
      <t xml:space="preserve"> et des évolutions législatives et réglementaires, après avis de la commission de suivi prévue à l’article 7.1 du présent accord. Cette cotisation couvre les agents et leurs ayants droit, tels que définis à l’article 3.4 du présent accord. Dans ce cadre les agents peuvent bénéficier du tiers payant et du système Noémie pour eux-mêmes et leurs ayants droit.
La part de la cotisation à la charge de l’agent est précomptée mensuellement par Pôle emploi.
Les agents affiliés au régime spécifique de sécurité sociale Alsace-Moselle bénéficient d’un tarif minoré de cotisation.</t>
    </r>
  </si>
  <si>
    <r>
      <rPr>
        <b/>
        <sz val="8"/>
        <color theme="1"/>
        <rFont val="Calibri"/>
        <family val="2"/>
      </rPr>
      <t>Cotisation santé - retraités</t>
    </r>
    <r>
      <rPr>
        <sz val="8"/>
        <color theme="1"/>
        <rFont val="Calibri"/>
        <family val="2"/>
      </rPr>
      <t xml:space="preserve">
art. 1.4 - 3è alinéa - Ce tarif plafonné à 125% de la cotisation des actifs, sera révisé, si besoin, au terme du deuxième exercice du contrat dans le cadre de la commission de suivi.</t>
    </r>
  </si>
  <si>
    <r>
      <rPr>
        <b/>
        <sz val="8"/>
        <color theme="1"/>
        <rFont val="Calibri"/>
        <family val="2"/>
      </rPr>
      <t>Précisions sur la surcomplémentaire santé</t>
    </r>
    <r>
      <rPr>
        <sz val="8"/>
        <color theme="1"/>
        <rFont val="Calibri"/>
        <family val="2"/>
      </rPr>
      <t xml:space="preserve">
Pour les assurés du régime de base et conjoint non à charge SS </t>
    </r>
    <r>
      <rPr>
        <b/>
        <sz val="8"/>
        <color rgb="FFFF0000"/>
        <rFont val="Calibri"/>
        <family val="2"/>
      </rPr>
      <t xml:space="preserve">sans mutuelle uniquement
</t>
    </r>
    <r>
      <rPr>
        <b/>
        <sz val="8"/>
        <rFont val="Calibri"/>
        <family val="2"/>
      </rPr>
      <t>option 1 - hospitalisation hors CAS</t>
    </r>
    <r>
      <rPr>
        <sz val="8"/>
        <rFont val="Calibri"/>
        <family val="2"/>
      </rPr>
      <t xml:space="preserve"> (médecine, chirurgie, obstétrique, psychiatrie) hors chirurgie esthétique - honoraires déclarés à la SS - actes codifiés en K (y compris IVG) : 400% BR si conventionné - 90% FR limités à 400% BR si non conventionné.
</t>
    </r>
    <r>
      <rPr>
        <b/>
        <sz val="8"/>
        <rFont val="Calibri"/>
        <family val="2"/>
      </rPr>
      <t>option 2 - consultations - frais médicaux - hors CAS</t>
    </r>
    <r>
      <rPr>
        <sz val="8"/>
        <rFont val="Calibri"/>
        <family val="2"/>
      </rPr>
      <t xml:space="preserve"> - consultations et visites de spécialistes - actes de spécialité en externat (chirurgie hors hospitalisation - radiologie) : 300% BR si conventionné - 90% FR limités à 300% BR si non conventionné.
</t>
    </r>
    <r>
      <rPr>
        <b/>
        <sz val="8"/>
        <rFont val="Calibri"/>
        <family val="2"/>
      </rPr>
      <t>option 3</t>
    </r>
    <r>
      <rPr>
        <sz val="8"/>
        <rFont val="Calibri"/>
        <family val="2"/>
      </rPr>
      <t xml:space="preserve"> - option 1 + option 2
BR : base de remboursement SS - CAS : contrat d'accès aux soins - FR : frais réels
</t>
    </r>
    <r>
      <rPr>
        <b/>
        <sz val="8"/>
        <rFont val="Calibri"/>
        <family val="2"/>
      </rPr>
      <t>changement d'option</t>
    </r>
    <r>
      <rPr>
        <sz val="8"/>
        <rFont val="Calibri"/>
        <family val="2"/>
      </rPr>
      <t xml:space="preserve"> - au 1er janvier de chaque année (demande parvenue à Malakoff Médéric le 31 octobre au plus tard) - si option 1 changement possible vers option 2 ou 3 - si option 2 changement possible vers option 1 ou 3 - </t>
    </r>
    <r>
      <rPr>
        <sz val="8"/>
        <color rgb="FFFF0000"/>
        <rFont val="Calibri"/>
        <family val="2"/>
      </rPr>
      <t>si option 3 pas de changement possible - tout renoncement sera définitif</t>
    </r>
  </si>
  <si>
    <r>
      <rPr>
        <b/>
        <sz val="8"/>
        <color theme="1"/>
        <rFont val="Calibri"/>
        <family val="2"/>
      </rPr>
      <t>Cotisation prévoyance</t>
    </r>
    <r>
      <rPr>
        <sz val="8"/>
        <color theme="1"/>
        <rFont val="Calibri"/>
        <family val="2"/>
      </rPr>
      <t xml:space="preserve">
art. 4.2 - 2è alinéa - </t>
    </r>
    <r>
      <rPr>
        <sz val="8"/>
        <color rgb="FFFF0000"/>
        <rFont val="Calibri"/>
        <family val="2"/>
      </rPr>
      <t>Les parties à négociation se rencontreront pour réajuster et préciser les taux dans les fourchettes proposées ci-dessus en fonction des coûts arrêtés à l’issue de la contractualisation.</t>
    </r>
  </si>
  <si>
    <r>
      <rPr>
        <b/>
        <sz val="8"/>
        <color theme="1"/>
        <rFont val="Calibri"/>
        <family val="2"/>
      </rPr>
      <t>Précisions sur la dépendance</t>
    </r>
    <r>
      <rPr>
        <sz val="8"/>
        <color theme="1"/>
        <rFont val="Calibri"/>
        <family val="2"/>
      </rPr>
      <t xml:space="preserve"> : tarifs pour une rente mensuelle de 500 € - pour une rente de 1 000 € multiplier le tarif par 2, pour 1 500 € par trois etc.</t>
    </r>
  </si>
</sst>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6" formatCode="#,##0\ &quot;€&quot;;[Red]\-#,##0\ &quot;€&quot;"/>
    <numFmt numFmtId="8" formatCode="#,##0.00\ &quot;€&quot;;[Red]\-#,##0.00\ &quot;€&quot;"/>
    <numFmt numFmtId="164" formatCode="#,##0.00_ ;[Red]\-#,##0.00\ "/>
    <numFmt numFmtId="165" formatCode="0.000%"/>
    <numFmt numFmtId="166" formatCode="#,##0.000_ ;[Red]\-#,##0.000\ "/>
    <numFmt numFmtId="167" formatCode="d\ mmmm\ yyyy"/>
    <numFmt numFmtId="168" formatCode="#,##0_ ;[Red]\-#,##0\ "/>
    <numFmt numFmtId="169" formatCode="0.0%"/>
  </numFmts>
  <fonts count="15" x14ac:knownFonts="1">
    <font>
      <sz val="10"/>
      <color theme="1"/>
      <name val="Arial"/>
      <family val="2"/>
    </font>
    <font>
      <sz val="8"/>
      <color theme="1"/>
      <name val="Arial"/>
      <family val="2"/>
    </font>
    <font>
      <sz val="8"/>
      <color rgb="FFFF0000"/>
      <name val="Arial"/>
      <family val="2"/>
    </font>
    <font>
      <b/>
      <sz val="8"/>
      <color theme="1"/>
      <name val="Arial"/>
      <family val="2"/>
    </font>
    <font>
      <sz val="8"/>
      <name val="Arial"/>
      <family val="2"/>
    </font>
    <font>
      <b/>
      <sz val="8"/>
      <color rgb="FFFF0000"/>
      <name val="Arial"/>
      <family val="2"/>
    </font>
    <font>
      <sz val="11"/>
      <color theme="1"/>
      <name val="Calibri"/>
      <family val="2"/>
      <scheme val="minor"/>
    </font>
    <font>
      <b/>
      <sz val="8"/>
      <name val="Arial"/>
      <family val="2"/>
    </font>
    <font>
      <sz val="8"/>
      <color theme="1"/>
      <name val="Calibri"/>
      <family val="2"/>
    </font>
    <font>
      <b/>
      <sz val="8"/>
      <color theme="1"/>
      <name val="Calibri"/>
      <family val="2"/>
    </font>
    <font>
      <sz val="8"/>
      <color rgb="FFFF0000"/>
      <name val="Calibri"/>
      <family val="2"/>
    </font>
    <font>
      <b/>
      <sz val="8"/>
      <color rgb="FFFF0000"/>
      <name val="Calibri"/>
      <family val="2"/>
    </font>
    <font>
      <b/>
      <sz val="8"/>
      <name val="Calibri"/>
      <family val="2"/>
    </font>
    <font>
      <sz val="8"/>
      <name val="Calibri"/>
      <family val="2"/>
    </font>
    <font>
      <b/>
      <sz val="10"/>
      <color theme="1"/>
      <name val="Arial"/>
      <family val="2"/>
    </font>
  </fonts>
  <fills count="7">
    <fill>
      <patternFill patternType="none"/>
    </fill>
    <fill>
      <patternFill patternType="gray125"/>
    </fill>
    <fill>
      <patternFill patternType="solid">
        <fgColor rgb="FFFFFFCC"/>
        <bgColor indexed="64"/>
      </patternFill>
    </fill>
    <fill>
      <patternFill patternType="solid">
        <fgColor rgb="FFFFFF00"/>
        <bgColor indexed="64"/>
      </patternFill>
    </fill>
    <fill>
      <patternFill patternType="solid">
        <fgColor rgb="FF66FF33"/>
        <bgColor indexed="64"/>
      </patternFill>
    </fill>
    <fill>
      <patternFill patternType="solid">
        <fgColor theme="5" tint="0.79998168889431442"/>
        <bgColor indexed="64"/>
      </patternFill>
    </fill>
    <fill>
      <patternFill patternType="solid">
        <fgColor theme="5" tint="0.59999389629810485"/>
        <bgColor indexed="64"/>
      </patternFill>
    </fill>
  </fills>
  <borders count="91">
    <border>
      <left/>
      <right/>
      <top/>
      <bottom/>
      <diagonal/>
    </border>
    <border>
      <left/>
      <right style="thin">
        <color auto="1"/>
      </right>
      <top/>
      <bottom/>
      <diagonal/>
    </border>
    <border>
      <left style="thin">
        <color auto="1"/>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style="hair">
        <color auto="1"/>
      </bottom>
      <diagonal/>
    </border>
    <border>
      <left style="thin">
        <color auto="1"/>
      </left>
      <right/>
      <top style="thin">
        <color auto="1"/>
      </top>
      <bottom style="hair">
        <color auto="1"/>
      </bottom>
      <diagonal/>
    </border>
    <border>
      <left/>
      <right/>
      <top style="thin">
        <color auto="1"/>
      </top>
      <bottom style="hair">
        <color auto="1"/>
      </bottom>
      <diagonal/>
    </border>
    <border>
      <left/>
      <right style="hair">
        <color auto="1"/>
      </right>
      <top style="thin">
        <color auto="1"/>
      </top>
      <bottom style="hair">
        <color auto="1"/>
      </bottom>
      <diagonal/>
    </border>
    <border>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top style="hair">
        <color auto="1"/>
      </top>
      <bottom style="hair">
        <color auto="1"/>
      </bottom>
      <diagonal/>
    </border>
    <border>
      <left/>
      <right/>
      <top style="hair">
        <color auto="1"/>
      </top>
      <bottom style="hair">
        <color auto="1"/>
      </bottom>
      <diagonal/>
    </border>
    <border>
      <left/>
      <right style="thin">
        <color auto="1"/>
      </right>
      <top style="hair">
        <color auto="1"/>
      </top>
      <bottom style="hair">
        <color auto="1"/>
      </bottom>
      <diagonal/>
    </border>
    <border>
      <left style="thin">
        <color auto="1"/>
      </left>
      <right style="thin">
        <color auto="1"/>
      </right>
      <top style="hair">
        <color auto="1"/>
      </top>
      <bottom/>
      <diagonal/>
    </border>
    <border>
      <left style="thin">
        <color auto="1"/>
      </left>
      <right/>
      <top style="hair">
        <color auto="1"/>
      </top>
      <bottom/>
      <diagonal/>
    </border>
    <border>
      <left/>
      <right/>
      <top style="hair">
        <color auto="1"/>
      </top>
      <bottom/>
      <diagonal/>
    </border>
    <border>
      <left/>
      <right style="thin">
        <color auto="1"/>
      </right>
      <top style="hair">
        <color auto="1"/>
      </top>
      <bottom/>
      <diagonal/>
    </border>
    <border>
      <left style="thin">
        <color auto="1"/>
      </left>
      <right style="thin">
        <color auto="1"/>
      </right>
      <top style="hair">
        <color auto="1"/>
      </top>
      <bottom style="thin">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style="thin">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style="thin">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diagonal/>
    </border>
    <border>
      <left style="hair">
        <color auto="1"/>
      </left>
      <right style="thin">
        <color auto="1"/>
      </right>
      <top style="hair">
        <color auto="1"/>
      </top>
      <bottom/>
      <diagonal/>
    </border>
    <border>
      <left style="thin">
        <color auto="1"/>
      </left>
      <right style="hair">
        <color auto="1"/>
      </right>
      <top/>
      <bottom/>
      <diagonal/>
    </border>
    <border>
      <left style="hair">
        <color auto="1"/>
      </left>
      <right style="thin">
        <color auto="1"/>
      </right>
      <top/>
      <bottom/>
      <diagonal/>
    </border>
    <border>
      <left style="thin">
        <color auto="1"/>
      </left>
      <right/>
      <top/>
      <bottom style="hair">
        <color auto="1"/>
      </bottom>
      <diagonal/>
    </border>
    <border>
      <left/>
      <right style="thin">
        <color auto="1"/>
      </right>
      <top/>
      <bottom style="hair">
        <color auto="1"/>
      </bottom>
      <diagonal/>
    </border>
    <border>
      <left/>
      <right/>
      <top/>
      <bottom style="hair">
        <color auto="1"/>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thin">
        <color auto="1"/>
      </left>
      <right style="hair">
        <color auto="1"/>
      </right>
      <top style="thin">
        <color auto="1"/>
      </top>
      <bottom/>
      <diagonal/>
    </border>
    <border>
      <left style="hair">
        <color auto="1"/>
      </left>
      <right style="hair">
        <color auto="1"/>
      </right>
      <top/>
      <bottom/>
      <diagonal/>
    </border>
    <border>
      <left style="thin">
        <color auto="1"/>
      </left>
      <right style="hair">
        <color auto="1"/>
      </right>
      <top/>
      <bottom style="thin">
        <color auto="1"/>
      </bottom>
      <diagonal/>
    </border>
    <border>
      <left style="hair">
        <color auto="1"/>
      </left>
      <right style="hair">
        <color auto="1"/>
      </right>
      <top/>
      <bottom style="thin">
        <color auto="1"/>
      </bottom>
      <diagonal/>
    </border>
    <border>
      <left style="hair">
        <color auto="1"/>
      </left>
      <right style="thin">
        <color auto="1"/>
      </right>
      <top/>
      <bottom style="thin">
        <color auto="1"/>
      </bottom>
      <diagonal/>
    </border>
    <border>
      <left style="hair">
        <color auto="1"/>
      </left>
      <right style="hair">
        <color auto="1"/>
      </right>
      <top style="thin">
        <color auto="1"/>
      </top>
      <bottom style="hair">
        <color auto="1"/>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style="thin">
        <color auto="1"/>
      </bottom>
      <diagonal/>
    </border>
    <border>
      <left/>
      <right/>
      <top/>
      <bottom style="medium">
        <color auto="1"/>
      </bottom>
      <diagonal/>
    </border>
    <border>
      <left style="hair">
        <color auto="1"/>
      </left>
      <right style="thin">
        <color auto="1"/>
      </right>
      <top style="thin">
        <color auto="1"/>
      </top>
      <bottom/>
      <diagonal/>
    </border>
    <border>
      <left/>
      <right style="medium">
        <color auto="1"/>
      </right>
      <top style="hair">
        <color auto="1"/>
      </top>
      <bottom style="thin">
        <color auto="1"/>
      </bottom>
      <diagonal/>
    </border>
    <border>
      <left style="thin">
        <color auto="1"/>
      </left>
      <right style="thin">
        <color auto="1"/>
      </right>
      <top/>
      <bottom style="hair">
        <color auto="1"/>
      </bottom>
      <diagonal/>
    </border>
    <border>
      <left style="medium">
        <color auto="1"/>
      </left>
      <right/>
      <top style="hair">
        <color auto="1"/>
      </top>
      <bottom style="thin">
        <color auto="1"/>
      </bottom>
      <diagonal/>
    </border>
    <border>
      <left style="medium">
        <color auto="1"/>
      </left>
      <right/>
      <top style="thin">
        <color auto="1"/>
      </top>
      <bottom style="hair">
        <color auto="1"/>
      </bottom>
      <diagonal/>
    </border>
    <border>
      <left/>
      <right style="medium">
        <color auto="1"/>
      </right>
      <top style="thin">
        <color auto="1"/>
      </top>
      <bottom style="hair">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bottom style="medium">
        <color auto="1"/>
      </bottom>
      <diagonal/>
    </border>
    <border>
      <left/>
      <right style="medium">
        <color auto="1"/>
      </right>
      <top/>
      <bottom style="medium">
        <color auto="1"/>
      </bottom>
      <diagonal/>
    </border>
    <border>
      <left style="thin">
        <color auto="1"/>
      </left>
      <right style="hair">
        <color auto="1"/>
      </right>
      <top/>
      <bottom style="hair">
        <color auto="1"/>
      </bottom>
      <diagonal/>
    </border>
    <border>
      <left style="hair">
        <color auto="1"/>
      </left>
      <right style="thin">
        <color auto="1"/>
      </right>
      <top/>
      <bottom style="hair">
        <color auto="1"/>
      </bottom>
      <diagonal/>
    </border>
    <border>
      <left/>
      <right style="hair">
        <color auto="1"/>
      </right>
      <top style="hair">
        <color auto="1"/>
      </top>
      <bottom style="hair">
        <color auto="1"/>
      </bottom>
      <diagonal/>
    </border>
    <border>
      <left/>
      <right style="hair">
        <color auto="1"/>
      </right>
      <top style="hair">
        <color auto="1"/>
      </top>
      <bottom style="thin">
        <color auto="1"/>
      </bottom>
      <diagonal/>
    </border>
    <border>
      <left/>
      <right style="hair">
        <color auto="1"/>
      </right>
      <top style="thin">
        <color auto="1"/>
      </top>
      <bottom style="thin">
        <color auto="1"/>
      </bottom>
      <diagonal/>
    </border>
    <border>
      <left/>
      <right style="hair">
        <color auto="1"/>
      </right>
      <top/>
      <bottom style="thin">
        <color auto="1"/>
      </bottom>
      <diagonal/>
    </border>
    <border>
      <left/>
      <right style="hair">
        <color auto="1"/>
      </right>
      <top/>
      <bottom/>
      <diagonal/>
    </border>
    <border>
      <left style="thin">
        <color auto="1"/>
      </left>
      <right style="thin">
        <color auto="1"/>
      </right>
      <top/>
      <bottom/>
      <diagonal/>
    </border>
    <border>
      <left style="hair">
        <color auto="1"/>
      </left>
      <right style="hair">
        <color auto="1"/>
      </right>
      <top style="hair">
        <color auto="1"/>
      </top>
      <bottom/>
      <diagonal/>
    </border>
    <border>
      <left/>
      <right style="hair">
        <color auto="1"/>
      </right>
      <top style="hair">
        <color auto="1"/>
      </top>
      <bottom/>
      <diagonal/>
    </border>
    <border>
      <left style="hair">
        <color auto="1"/>
      </left>
      <right style="hair">
        <color auto="1"/>
      </right>
      <top/>
      <bottom style="hair">
        <color auto="1"/>
      </bottom>
      <diagonal/>
    </border>
    <border>
      <left style="hair">
        <color auto="1"/>
      </left>
      <right/>
      <top style="hair">
        <color auto="1"/>
      </top>
      <bottom/>
      <diagonal/>
    </border>
    <border>
      <left style="hair">
        <color auto="1"/>
      </left>
      <right/>
      <top/>
      <bottom/>
      <diagonal/>
    </border>
    <border>
      <left style="hair">
        <color auto="1"/>
      </left>
      <right/>
      <top/>
      <bottom style="thin">
        <color auto="1"/>
      </bottom>
      <diagonal/>
    </border>
    <border>
      <left/>
      <right style="hair">
        <color auto="1"/>
      </right>
      <top/>
      <bottom style="hair">
        <color auto="1"/>
      </bottom>
      <diagonal/>
    </border>
    <border>
      <left style="hair">
        <color auto="1"/>
      </left>
      <right/>
      <top style="thin">
        <color auto="1"/>
      </top>
      <bottom style="hair">
        <color auto="1"/>
      </bottom>
      <diagonal/>
    </border>
    <border>
      <left style="hair">
        <color auto="1"/>
      </left>
      <right/>
      <top style="hair">
        <color auto="1"/>
      </top>
      <bottom style="hair">
        <color auto="1"/>
      </bottom>
      <diagonal/>
    </border>
    <border>
      <left style="hair">
        <color auto="1"/>
      </left>
      <right/>
      <top/>
      <bottom style="hair">
        <color auto="1"/>
      </bottom>
      <diagonal/>
    </border>
    <border>
      <left style="hair">
        <color auto="1"/>
      </left>
      <right/>
      <top style="hair">
        <color auto="1"/>
      </top>
      <bottom style="thin">
        <color auto="1"/>
      </bottom>
      <diagonal/>
    </border>
    <border>
      <left style="hair">
        <color auto="1"/>
      </left>
      <right style="hair">
        <color auto="1"/>
      </right>
      <top style="thin">
        <color auto="1"/>
      </top>
      <bottom/>
      <diagonal/>
    </border>
    <border>
      <left style="hair">
        <color auto="1"/>
      </left>
      <right/>
      <top style="thin">
        <color auto="1"/>
      </top>
      <bottom/>
      <diagonal/>
    </border>
    <border>
      <left/>
      <right style="hair">
        <color auto="1"/>
      </right>
      <top style="thin">
        <color auto="1"/>
      </top>
      <bottom/>
      <diagonal/>
    </border>
    <border>
      <left style="hair">
        <color auto="1"/>
      </left>
      <right/>
      <top style="thin">
        <color auto="1"/>
      </top>
      <bottom style="thin">
        <color auto="1"/>
      </bottom>
      <diagonal/>
    </border>
  </borders>
  <cellStyleXfs count="2">
    <xf numFmtId="0" fontId="0" fillId="0" borderId="0"/>
    <xf numFmtId="0" fontId="6" fillId="0" borderId="0"/>
  </cellStyleXfs>
  <cellXfs count="944">
    <xf numFmtId="0" fontId="0" fillId="0" borderId="0" xfId="0"/>
    <xf numFmtId="164" fontId="1" fillId="0" borderId="0" xfId="0" applyNumberFormat="1" applyFont="1" applyAlignment="1">
      <alignment wrapText="1"/>
    </xf>
    <xf numFmtId="165" fontId="1" fillId="0" borderId="0" xfId="0" applyNumberFormat="1" applyFont="1" applyAlignment="1">
      <alignment wrapText="1"/>
    </xf>
    <xf numFmtId="166" fontId="1" fillId="0" borderId="0" xfId="0" applyNumberFormat="1" applyFont="1" applyAlignment="1">
      <alignment wrapText="1"/>
    </xf>
    <xf numFmtId="164" fontId="1" fillId="2" borderId="34" xfId="0" applyNumberFormat="1" applyFont="1" applyFill="1" applyBorder="1" applyAlignment="1">
      <alignment horizontal="center" vertical="center" wrapText="1"/>
    </xf>
    <xf numFmtId="164" fontId="1" fillId="2" borderId="35" xfId="0" applyNumberFormat="1" applyFont="1" applyFill="1" applyBorder="1" applyAlignment="1">
      <alignment horizontal="center" vertical="center" wrapText="1"/>
    </xf>
    <xf numFmtId="0" fontId="1" fillId="0" borderId="0" xfId="0" applyFont="1" applyAlignment="1">
      <alignment vertical="center" wrapText="1"/>
    </xf>
    <xf numFmtId="10" fontId="1" fillId="0" borderId="0" xfId="0" applyNumberFormat="1" applyFont="1" applyFill="1" applyBorder="1" applyAlignment="1">
      <alignment horizontal="center" vertical="center" wrapText="1"/>
    </xf>
    <xf numFmtId="167" fontId="3" fillId="0" borderId="4" xfId="0" applyNumberFormat="1" applyFont="1" applyFill="1" applyBorder="1" applyAlignment="1">
      <alignment horizontal="center" wrapText="1"/>
    </xf>
    <xf numFmtId="10" fontId="3" fillId="0" borderId="4" xfId="0" applyNumberFormat="1" applyFont="1" applyFill="1" applyBorder="1" applyAlignment="1">
      <alignment horizontal="center" wrapText="1"/>
    </xf>
    <xf numFmtId="0" fontId="1" fillId="0" borderId="0" xfId="0" applyFont="1" applyFill="1" applyBorder="1" applyAlignment="1">
      <alignment wrapText="1"/>
    </xf>
    <xf numFmtId="164" fontId="1" fillId="0" borderId="0" xfId="0" applyNumberFormat="1" applyFont="1" applyFill="1" applyBorder="1" applyAlignment="1">
      <alignment wrapText="1"/>
    </xf>
    <xf numFmtId="164" fontId="1" fillId="0" borderId="0" xfId="0" applyNumberFormat="1" applyFont="1" applyFill="1" applyBorder="1" applyAlignment="1">
      <alignment horizontal="center" vertical="center" wrapText="1"/>
    </xf>
    <xf numFmtId="0" fontId="1" fillId="0" borderId="0" xfId="0" applyFont="1" applyFill="1" applyBorder="1" applyAlignment="1">
      <alignment horizontal="center" vertical="center" wrapText="1"/>
    </xf>
    <xf numFmtId="0" fontId="3" fillId="0" borderId="2" xfId="0" applyFont="1" applyFill="1" applyBorder="1" applyAlignment="1">
      <alignment horizontal="center" wrapText="1"/>
    </xf>
    <xf numFmtId="0" fontId="3" fillId="0" borderId="0" xfId="0" applyFont="1" applyFill="1" applyBorder="1" applyAlignment="1">
      <alignment horizontal="center" wrapText="1"/>
    </xf>
    <xf numFmtId="0" fontId="3" fillId="0" borderId="2" xfId="0" applyFont="1" applyFill="1" applyBorder="1" applyAlignment="1">
      <alignment horizontal="left" wrapText="1"/>
    </xf>
    <xf numFmtId="164" fontId="1" fillId="0" borderId="2" xfId="0" applyNumberFormat="1" applyFont="1" applyFill="1" applyBorder="1" applyAlignment="1">
      <alignment wrapText="1"/>
    </xf>
    <xf numFmtId="165" fontId="1" fillId="0" borderId="2" xfId="0" applyNumberFormat="1" applyFont="1" applyFill="1" applyBorder="1" applyAlignment="1">
      <alignment horizontal="left" wrapText="1"/>
    </xf>
    <xf numFmtId="166" fontId="1" fillId="0" borderId="2" xfId="0" applyNumberFormat="1" applyFont="1" applyFill="1" applyBorder="1" applyAlignment="1">
      <alignment horizontal="left" wrapText="1"/>
    </xf>
    <xf numFmtId="0" fontId="3" fillId="0" borderId="2" xfId="0" applyFont="1" applyFill="1" applyBorder="1" applyAlignment="1">
      <alignment vertical="center" wrapText="1"/>
    </xf>
    <xf numFmtId="165" fontId="1" fillId="0" borderId="2" xfId="0" applyNumberFormat="1" applyFont="1" applyFill="1" applyBorder="1" applyAlignment="1">
      <alignment wrapText="1"/>
    </xf>
    <xf numFmtId="0" fontId="1" fillId="0" borderId="2" xfId="0" applyFont="1" applyFill="1" applyBorder="1" applyAlignment="1">
      <alignment wrapText="1"/>
    </xf>
    <xf numFmtId="167" fontId="3" fillId="0" borderId="0" xfId="0" applyNumberFormat="1" applyFont="1" applyFill="1" applyBorder="1" applyAlignment="1">
      <alignment horizontal="center" wrapText="1"/>
    </xf>
    <xf numFmtId="9" fontId="1" fillId="0" borderId="0" xfId="0" applyNumberFormat="1" applyFont="1" applyFill="1" applyBorder="1" applyAlignment="1">
      <alignment horizontal="center" wrapText="1"/>
    </xf>
    <xf numFmtId="165" fontId="1" fillId="0" borderId="0" xfId="0" applyNumberFormat="1" applyFont="1" applyFill="1" applyBorder="1" applyAlignment="1">
      <alignment horizontal="center" wrapText="1"/>
    </xf>
    <xf numFmtId="0" fontId="1" fillId="0" borderId="0" xfId="0" applyFont="1" applyAlignment="1">
      <alignment horizontal="center" wrapText="1"/>
    </xf>
    <xf numFmtId="164" fontId="1" fillId="0" borderId="0" xfId="0" applyNumberFormat="1" applyFont="1" applyAlignment="1">
      <alignment horizontal="center" wrapText="1"/>
    </xf>
    <xf numFmtId="10" fontId="1" fillId="0" borderId="0" xfId="0" applyNumberFormat="1" applyFont="1" applyAlignment="1">
      <alignment horizontal="center" wrapText="1"/>
    </xf>
    <xf numFmtId="0" fontId="1" fillId="0" borderId="0" xfId="0" applyFont="1" applyFill="1" applyBorder="1" applyAlignment="1"/>
    <xf numFmtId="0" fontId="1" fillId="0" borderId="0" xfId="0" applyFont="1" applyFill="1" applyBorder="1" applyAlignment="1">
      <alignment horizontal="center"/>
    </xf>
    <xf numFmtId="164" fontId="1" fillId="0" borderId="0" xfId="0" applyNumberFormat="1" applyFont="1" applyFill="1" applyBorder="1" applyAlignment="1">
      <alignment horizontal="center"/>
    </xf>
    <xf numFmtId="0" fontId="1" fillId="0" borderId="0" xfId="0" applyFont="1" applyBorder="1" applyAlignment="1"/>
    <xf numFmtId="164" fontId="4" fillId="0" borderId="0" xfId="0" applyNumberFormat="1" applyFont="1" applyFill="1" applyBorder="1" applyAlignment="1">
      <alignment horizontal="center" vertical="center" wrapText="1"/>
    </xf>
    <xf numFmtId="0" fontId="1" fillId="0" borderId="0" xfId="0" applyFont="1" applyAlignment="1">
      <alignment wrapText="1"/>
    </xf>
    <xf numFmtId="0" fontId="3" fillId="0" borderId="10" xfId="0" applyFont="1" applyFill="1" applyBorder="1" applyAlignment="1">
      <alignment horizontal="center" wrapText="1"/>
    </xf>
    <xf numFmtId="167" fontId="3" fillId="0" borderId="10" xfId="0" applyNumberFormat="1" applyFont="1" applyFill="1" applyBorder="1" applyAlignment="1">
      <alignment horizontal="center" wrapText="1"/>
    </xf>
    <xf numFmtId="10" fontId="3" fillId="0" borderId="10" xfId="0" applyNumberFormat="1" applyFont="1" applyFill="1" applyBorder="1" applyAlignment="1">
      <alignment horizontal="center" wrapText="1"/>
    </xf>
    <xf numFmtId="0" fontId="3" fillId="0" borderId="0" xfId="0" applyFont="1" applyFill="1" applyBorder="1" applyAlignment="1">
      <alignment horizontal="left" wrapText="1"/>
    </xf>
    <xf numFmtId="165" fontId="1" fillId="0" borderId="0" xfId="0" applyNumberFormat="1" applyFont="1" applyFill="1" applyBorder="1" applyAlignment="1">
      <alignment horizontal="left" wrapText="1"/>
    </xf>
    <xf numFmtId="166" fontId="1" fillId="0" borderId="0" xfId="0" applyNumberFormat="1" applyFont="1" applyFill="1" applyBorder="1" applyAlignment="1">
      <alignment horizontal="left" wrapText="1"/>
    </xf>
    <xf numFmtId="0" fontId="3" fillId="0" borderId="0" xfId="0" applyFont="1" applyFill="1" applyBorder="1" applyAlignment="1">
      <alignment vertical="center" wrapText="1"/>
    </xf>
    <xf numFmtId="165" fontId="1" fillId="0" borderId="0" xfId="0" applyNumberFormat="1" applyFont="1" applyFill="1" applyBorder="1" applyAlignment="1">
      <alignment wrapText="1"/>
    </xf>
    <xf numFmtId="0" fontId="1" fillId="0" borderId="0" xfId="0" applyFont="1" applyBorder="1" applyAlignment="1">
      <alignment wrapText="1"/>
    </xf>
    <xf numFmtId="10" fontId="3" fillId="0" borderId="0" xfId="0" applyNumberFormat="1" applyFont="1" applyFill="1" applyBorder="1" applyAlignment="1">
      <alignment horizontal="center" wrapText="1"/>
    </xf>
    <xf numFmtId="165" fontId="1" fillId="0" borderId="0" xfId="0" applyNumberFormat="1" applyFont="1" applyAlignment="1"/>
    <xf numFmtId="168" fontId="1" fillId="0" borderId="0" xfId="0" applyNumberFormat="1" applyFont="1" applyFill="1" applyBorder="1" applyAlignment="1"/>
    <xf numFmtId="168" fontId="1" fillId="0" borderId="0" xfId="0" applyNumberFormat="1" applyFont="1" applyAlignment="1"/>
    <xf numFmtId="168" fontId="4" fillId="0" borderId="33" xfId="0" applyNumberFormat="1" applyFont="1" applyFill="1" applyBorder="1" applyAlignment="1" applyProtection="1"/>
    <xf numFmtId="168" fontId="4" fillId="0" borderId="37" xfId="0" applyNumberFormat="1" applyFont="1" applyFill="1" applyBorder="1" applyAlignment="1" applyProtection="1"/>
    <xf numFmtId="168" fontId="4" fillId="0" borderId="35" xfId="0" applyNumberFormat="1" applyFont="1" applyFill="1" applyBorder="1" applyAlignment="1" applyProtection="1"/>
    <xf numFmtId="168" fontId="1" fillId="0" borderId="0" xfId="0" applyNumberFormat="1" applyFont="1" applyFill="1" applyBorder="1" applyAlignment="1">
      <alignment horizontal="center" vertical="center" wrapText="1"/>
    </xf>
    <xf numFmtId="0" fontId="1" fillId="0" borderId="10" xfId="0" applyFont="1" applyFill="1" applyBorder="1" applyAlignment="1">
      <alignment horizontal="center" wrapText="1"/>
    </xf>
    <xf numFmtId="167" fontId="1" fillId="0" borderId="0" xfId="0" applyNumberFormat="1" applyFont="1" applyFill="1" applyBorder="1" applyAlignment="1">
      <alignment horizontal="center" wrapText="1"/>
    </xf>
    <xf numFmtId="0" fontId="1" fillId="0" borderId="2" xfId="0" applyFont="1" applyFill="1" applyBorder="1" applyAlignment="1">
      <alignment horizontal="center" wrapText="1"/>
    </xf>
    <xf numFmtId="167" fontId="1" fillId="0" borderId="4" xfId="0" applyNumberFormat="1" applyFont="1" applyFill="1" applyBorder="1" applyAlignment="1">
      <alignment horizontal="center" wrapText="1"/>
    </xf>
    <xf numFmtId="10" fontId="1" fillId="0" borderId="4" xfId="0" applyNumberFormat="1" applyFont="1" applyFill="1" applyBorder="1" applyAlignment="1">
      <alignment horizontal="center" wrapText="1"/>
    </xf>
    <xf numFmtId="0" fontId="1" fillId="0" borderId="0" xfId="0" applyFont="1" applyFill="1" applyBorder="1" applyAlignment="1">
      <alignment horizontal="left" wrapText="1"/>
    </xf>
    <xf numFmtId="0" fontId="1" fillId="0" borderId="2" xfId="0" applyFont="1" applyFill="1" applyBorder="1" applyAlignment="1">
      <alignment horizontal="left" wrapText="1"/>
    </xf>
    <xf numFmtId="0" fontId="1" fillId="0" borderId="0" xfId="0" applyFont="1" applyFill="1" applyBorder="1" applyAlignment="1">
      <alignment vertical="center" wrapText="1"/>
    </xf>
    <xf numFmtId="0" fontId="1" fillId="0" borderId="2" xfId="0" applyFont="1" applyFill="1" applyBorder="1" applyAlignment="1">
      <alignment vertical="center" wrapText="1"/>
    </xf>
    <xf numFmtId="0" fontId="1" fillId="0" borderId="0" xfId="0" applyFont="1" applyFill="1" applyAlignment="1"/>
    <xf numFmtId="10" fontId="1" fillId="0" borderId="0" xfId="0" applyNumberFormat="1" applyFont="1" applyAlignment="1">
      <alignment wrapText="1"/>
    </xf>
    <xf numFmtId="164" fontId="1" fillId="0" borderId="0" xfId="0" applyNumberFormat="1" applyFont="1" applyBorder="1" applyAlignment="1"/>
    <xf numFmtId="168" fontId="7" fillId="2" borderId="47" xfId="0" applyNumberFormat="1" applyFont="1" applyFill="1" applyBorder="1" applyAlignment="1" applyProtection="1"/>
    <xf numFmtId="168" fontId="1" fillId="0" borderId="0" xfId="0" applyNumberFormat="1" applyFont="1" applyAlignment="1">
      <alignment wrapText="1"/>
    </xf>
    <xf numFmtId="168" fontId="4" fillId="0" borderId="53" xfId="0" applyNumberFormat="1" applyFont="1" applyFill="1" applyBorder="1" applyAlignment="1" applyProtection="1"/>
    <xf numFmtId="168" fontId="4" fillId="0" borderId="54" xfId="0" applyNumberFormat="1" applyFont="1" applyFill="1" applyBorder="1" applyAlignment="1" applyProtection="1"/>
    <xf numFmtId="168" fontId="4" fillId="0" borderId="55" xfId="0" applyNumberFormat="1" applyFont="1" applyFill="1" applyBorder="1" applyAlignment="1" applyProtection="1"/>
    <xf numFmtId="168" fontId="3" fillId="2" borderId="47" xfId="0" applyNumberFormat="1" applyFont="1" applyFill="1" applyBorder="1" applyAlignment="1"/>
    <xf numFmtId="168" fontId="4" fillId="0" borderId="32" xfId="0" applyNumberFormat="1" applyFont="1" applyFill="1" applyBorder="1" applyAlignment="1" applyProtection="1"/>
    <xf numFmtId="168" fontId="4" fillId="0" borderId="36" xfId="0" applyNumberFormat="1" applyFont="1" applyFill="1" applyBorder="1" applyAlignment="1" applyProtection="1"/>
    <xf numFmtId="168" fontId="4" fillId="0" borderId="34" xfId="0" applyNumberFormat="1" applyFont="1" applyFill="1" applyBorder="1" applyAlignment="1" applyProtection="1"/>
    <xf numFmtId="168" fontId="7" fillId="2" borderId="45" xfId="0" applyNumberFormat="1" applyFont="1" applyFill="1" applyBorder="1" applyAlignment="1" applyProtection="1"/>
    <xf numFmtId="168" fontId="7" fillId="2" borderId="46" xfId="0" applyNumberFormat="1" applyFont="1" applyFill="1" applyBorder="1" applyAlignment="1" applyProtection="1"/>
    <xf numFmtId="168" fontId="7" fillId="2" borderId="50" xfId="0" quotePrefix="1" applyNumberFormat="1" applyFont="1" applyFill="1" applyBorder="1" applyAlignment="1" applyProtection="1"/>
    <xf numFmtId="168" fontId="7" fillId="2" borderId="51" xfId="0" quotePrefix="1" applyNumberFormat="1" applyFont="1" applyFill="1" applyBorder="1" applyAlignment="1" applyProtection="1"/>
    <xf numFmtId="168" fontId="7" fillId="2" borderId="52" xfId="0" quotePrefix="1" applyNumberFormat="1" applyFont="1" applyFill="1" applyBorder="1" applyAlignment="1" applyProtection="1"/>
    <xf numFmtId="168" fontId="3" fillId="2" borderId="52" xfId="0" applyNumberFormat="1" applyFont="1" applyFill="1" applyBorder="1" applyAlignment="1">
      <alignment vertical="center"/>
    </xf>
    <xf numFmtId="168" fontId="7" fillId="2" borderId="72" xfId="0" applyNumberFormat="1" applyFont="1" applyFill="1" applyBorder="1" applyAlignment="1" applyProtection="1"/>
    <xf numFmtId="168" fontId="4" fillId="2" borderId="53" xfId="0" applyNumberFormat="1" applyFont="1" applyFill="1" applyBorder="1" applyAlignment="1" applyProtection="1"/>
    <xf numFmtId="168" fontId="4" fillId="2" borderId="54" xfId="0" applyNumberFormat="1" applyFont="1" applyFill="1" applyBorder="1" applyAlignment="1" applyProtection="1"/>
    <xf numFmtId="168" fontId="4" fillId="2" borderId="55" xfId="0" applyNumberFormat="1" applyFont="1" applyFill="1" applyBorder="1" applyAlignment="1" applyProtection="1"/>
    <xf numFmtId="168" fontId="7" fillId="2" borderId="73" xfId="0" quotePrefix="1" applyNumberFormat="1" applyFont="1" applyFill="1" applyBorder="1" applyAlignment="1" applyProtection="1"/>
    <xf numFmtId="164" fontId="4" fillId="0" borderId="0" xfId="0" applyNumberFormat="1" applyFont="1" applyFill="1" applyBorder="1" applyAlignment="1"/>
    <xf numFmtId="0" fontId="4" fillId="0" borderId="0" xfId="0" applyFont="1" applyFill="1" applyBorder="1" applyAlignment="1"/>
    <xf numFmtId="0" fontId="4" fillId="0" borderId="0" xfId="0" applyFont="1" applyAlignment="1"/>
    <xf numFmtId="164" fontId="4" fillId="0" borderId="0" xfId="0" applyNumberFormat="1" applyFont="1" applyAlignment="1"/>
    <xf numFmtId="165" fontId="4" fillId="0" borderId="0" xfId="0" applyNumberFormat="1" applyFont="1" applyAlignment="1"/>
    <xf numFmtId="166" fontId="4" fillId="0" borderId="0" xfId="0" applyNumberFormat="1" applyFont="1" applyAlignment="1"/>
    <xf numFmtId="0" fontId="4" fillId="0" borderId="0" xfId="0" applyFont="1" applyAlignment="1">
      <alignment vertical="center"/>
    </xf>
    <xf numFmtId="164" fontId="4" fillId="0" borderId="0" xfId="0" applyNumberFormat="1" applyFont="1" applyFill="1" applyBorder="1" applyAlignment="1">
      <alignment horizontal="left"/>
    </xf>
    <xf numFmtId="168" fontId="4" fillId="0" borderId="0" xfId="0" applyNumberFormat="1" applyFont="1" applyFill="1" applyBorder="1" applyAlignment="1">
      <alignment horizontal="left" vertical="center"/>
    </xf>
    <xf numFmtId="168" fontId="4" fillId="0" borderId="0" xfId="0" applyNumberFormat="1" applyFont="1" applyFill="1" applyBorder="1" applyAlignment="1">
      <alignment horizontal="center"/>
    </xf>
    <xf numFmtId="0" fontId="4" fillId="0" borderId="0" xfId="0" applyFont="1" applyBorder="1" applyAlignment="1"/>
    <xf numFmtId="1" fontId="3" fillId="0" borderId="0" xfId="0" applyNumberFormat="1" applyFont="1" applyFill="1" applyBorder="1" applyAlignment="1">
      <alignment horizontal="center" wrapText="1"/>
    </xf>
    <xf numFmtId="9" fontId="3" fillId="0" borderId="4" xfId="0" applyNumberFormat="1" applyFont="1" applyFill="1" applyBorder="1" applyAlignment="1">
      <alignment horizontal="center" wrapText="1"/>
    </xf>
    <xf numFmtId="9" fontId="1" fillId="0" borderId="0" xfId="0" applyNumberFormat="1" applyFont="1" applyFill="1" applyBorder="1" applyAlignment="1">
      <alignment horizontal="center" vertical="center" wrapText="1"/>
    </xf>
    <xf numFmtId="0" fontId="1" fillId="0" borderId="0" xfId="0" applyFont="1" applyFill="1" applyBorder="1" applyAlignment="1">
      <alignment horizontal="center" wrapText="1"/>
    </xf>
    <xf numFmtId="164" fontId="1" fillId="0" borderId="0" xfId="0" applyNumberFormat="1" applyFont="1" applyFill="1" applyBorder="1" applyAlignment="1">
      <alignment horizontal="center" wrapText="1"/>
    </xf>
    <xf numFmtId="168" fontId="1" fillId="0" borderId="0" xfId="0" applyNumberFormat="1" applyFont="1" applyFill="1" applyBorder="1" applyAlignment="1">
      <alignment horizontal="center" wrapText="1"/>
    </xf>
    <xf numFmtId="8" fontId="1" fillId="0" borderId="0" xfId="0" applyNumberFormat="1" applyFont="1" applyFill="1" applyBorder="1" applyAlignment="1">
      <alignment horizontal="center" wrapText="1"/>
    </xf>
    <xf numFmtId="8" fontId="1" fillId="0" borderId="0" xfId="0" applyNumberFormat="1" applyFont="1" applyFill="1" applyBorder="1" applyAlignment="1">
      <alignment horizontal="center" vertical="center" wrapText="1"/>
    </xf>
    <xf numFmtId="165" fontId="1" fillId="2" borderId="36" xfId="0" applyNumberFormat="1" applyFont="1" applyFill="1" applyBorder="1" applyAlignment="1">
      <alignment horizontal="center" wrapText="1"/>
    </xf>
    <xf numFmtId="165" fontId="1" fillId="2" borderId="37" xfId="0" applyNumberFormat="1" applyFont="1" applyFill="1" applyBorder="1" applyAlignment="1">
      <alignment horizontal="center" wrapText="1"/>
    </xf>
    <xf numFmtId="169" fontId="1" fillId="2" borderId="36" xfId="0" applyNumberFormat="1" applyFont="1" applyFill="1" applyBorder="1" applyAlignment="1">
      <alignment horizontal="center" wrapText="1"/>
    </xf>
    <xf numFmtId="169" fontId="1" fillId="2" borderId="37" xfId="0" applyNumberFormat="1" applyFont="1" applyFill="1" applyBorder="1" applyAlignment="1">
      <alignment horizontal="center" wrapText="1"/>
    </xf>
    <xf numFmtId="8" fontId="1" fillId="2" borderId="36" xfId="0" applyNumberFormat="1" applyFont="1" applyFill="1" applyBorder="1" applyAlignment="1">
      <alignment horizontal="center" wrapText="1"/>
    </xf>
    <xf numFmtId="8" fontId="1" fillId="2" borderId="37" xfId="0" applyNumberFormat="1" applyFont="1" applyFill="1" applyBorder="1" applyAlignment="1">
      <alignment horizontal="center" wrapText="1"/>
    </xf>
    <xf numFmtId="8" fontId="4" fillId="2" borderId="36" xfId="0" applyNumberFormat="1" applyFont="1" applyFill="1" applyBorder="1" applyAlignment="1">
      <alignment horizontal="center" wrapText="1"/>
    </xf>
    <xf numFmtId="8" fontId="4" fillId="2" borderId="37" xfId="0" applyNumberFormat="1" applyFont="1" applyFill="1" applyBorder="1" applyAlignment="1">
      <alignment horizontal="center" wrapText="1"/>
    </xf>
    <xf numFmtId="165" fontId="1" fillId="5" borderId="36" xfId="0" applyNumberFormat="1" applyFont="1" applyFill="1" applyBorder="1" applyAlignment="1">
      <alignment horizontal="center" wrapText="1"/>
    </xf>
    <xf numFmtId="165" fontId="1" fillId="5" borderId="37" xfId="0" applyNumberFormat="1" applyFont="1" applyFill="1" applyBorder="1" applyAlignment="1">
      <alignment horizontal="center" wrapText="1"/>
    </xf>
    <xf numFmtId="169" fontId="1" fillId="5" borderId="36" xfId="0" applyNumberFormat="1" applyFont="1" applyFill="1" applyBorder="1" applyAlignment="1">
      <alignment horizontal="center" wrapText="1"/>
    </xf>
    <xf numFmtId="169" fontId="1" fillId="5" borderId="37" xfId="0" applyNumberFormat="1" applyFont="1" applyFill="1" applyBorder="1" applyAlignment="1">
      <alignment horizontal="center" wrapText="1"/>
    </xf>
    <xf numFmtId="8" fontId="1" fillId="5" borderId="36" xfId="0" applyNumberFormat="1" applyFont="1" applyFill="1" applyBorder="1" applyAlignment="1">
      <alignment horizontal="center" wrapText="1"/>
    </xf>
    <xf numFmtId="8" fontId="1" fillId="5" borderId="37" xfId="0" applyNumberFormat="1" applyFont="1" applyFill="1" applyBorder="1" applyAlignment="1">
      <alignment horizontal="center" wrapText="1"/>
    </xf>
    <xf numFmtId="8" fontId="4" fillId="5" borderId="36" xfId="0" applyNumberFormat="1" applyFont="1" applyFill="1" applyBorder="1" applyAlignment="1">
      <alignment horizontal="center" wrapText="1"/>
    </xf>
    <xf numFmtId="8" fontId="4" fillId="5" borderId="37" xfId="0" applyNumberFormat="1" applyFont="1" applyFill="1" applyBorder="1" applyAlignment="1">
      <alignment horizontal="center" wrapText="1"/>
    </xf>
    <xf numFmtId="0" fontId="4" fillId="0" borderId="0" xfId="1" applyFont="1" applyFill="1" applyBorder="1" applyAlignment="1">
      <alignment horizontal="right" wrapText="1" indent="1"/>
    </xf>
    <xf numFmtId="168" fontId="4" fillId="0" borderId="0" xfId="1" applyNumberFormat="1" applyFont="1" applyFill="1" applyBorder="1" applyAlignment="1"/>
    <xf numFmtId="168" fontId="1" fillId="0" borderId="0" xfId="0" applyNumberFormat="1" applyFont="1" applyFill="1" applyAlignment="1">
      <alignment wrapText="1"/>
    </xf>
    <xf numFmtId="164" fontId="7" fillId="0" borderId="0" xfId="0" applyNumberFormat="1" applyFont="1" applyFill="1" applyBorder="1" applyAlignment="1">
      <alignment horizontal="right"/>
    </xf>
    <xf numFmtId="164" fontId="1" fillId="0" borderId="4" xfId="0" applyNumberFormat="1" applyFont="1" applyFill="1" applyBorder="1" applyAlignment="1">
      <alignment vertical="center"/>
    </xf>
    <xf numFmtId="168" fontId="3" fillId="0" borderId="4" xfId="0" applyNumberFormat="1" applyFont="1" applyFill="1" applyBorder="1" applyAlignment="1">
      <alignment vertical="center"/>
    </xf>
    <xf numFmtId="0" fontId="3" fillId="0" borderId="4" xfId="0" applyFont="1" applyFill="1" applyBorder="1" applyAlignment="1">
      <alignment vertical="center"/>
    </xf>
    <xf numFmtId="168" fontId="3" fillId="0" borderId="4" xfId="0" applyNumberFormat="1" applyFont="1" applyFill="1" applyBorder="1" applyAlignment="1">
      <alignment horizontal="center" vertical="center"/>
    </xf>
    <xf numFmtId="168" fontId="4" fillId="0" borderId="36" xfId="0" applyNumberFormat="1" applyFont="1" applyFill="1" applyBorder="1" applyAlignment="1" applyProtection="1">
      <alignment vertical="center"/>
    </xf>
    <xf numFmtId="168" fontId="4" fillId="0" borderId="54" xfId="0" applyNumberFormat="1" applyFont="1" applyFill="1" applyBorder="1" applyAlignment="1" applyProtection="1">
      <alignment vertical="center"/>
    </xf>
    <xf numFmtId="168" fontId="4" fillId="0" borderId="37" xfId="0" applyNumberFormat="1" applyFont="1" applyFill="1" applyBorder="1" applyAlignment="1" applyProtection="1">
      <alignment vertical="center"/>
    </xf>
    <xf numFmtId="168" fontId="4" fillId="0" borderId="68" xfId="0" applyNumberFormat="1" applyFont="1" applyFill="1" applyBorder="1" applyAlignment="1" applyProtection="1"/>
    <xf numFmtId="168" fontId="4" fillId="0" borderId="78" xfId="0" applyNumberFormat="1" applyFont="1" applyFill="1" applyBorder="1" applyAlignment="1" applyProtection="1"/>
    <xf numFmtId="168" fontId="4" fillId="0" borderId="69" xfId="0" applyNumberFormat="1" applyFont="1" applyFill="1" applyBorder="1" applyAlignment="1" applyProtection="1"/>
    <xf numFmtId="168" fontId="1" fillId="2" borderId="32" xfId="0" applyNumberFormat="1" applyFont="1" applyFill="1" applyBorder="1" applyAlignment="1"/>
    <xf numFmtId="168" fontId="1" fillId="2" borderId="36" xfId="0" applyNumberFormat="1" applyFont="1" applyFill="1" applyBorder="1" applyAlignment="1"/>
    <xf numFmtId="168" fontId="1" fillId="2" borderId="37" xfId="0" applyNumberFormat="1" applyFont="1" applyFill="1" applyBorder="1" applyAlignment="1"/>
    <xf numFmtId="168" fontId="1" fillId="2" borderId="34" xfId="0" applyNumberFormat="1" applyFont="1" applyFill="1" applyBorder="1" applyAlignment="1"/>
    <xf numFmtId="168" fontId="1" fillId="2" borderId="35" xfId="0" applyNumberFormat="1" applyFont="1" applyFill="1" applyBorder="1" applyAlignment="1"/>
    <xf numFmtId="168" fontId="3" fillId="2" borderId="45" xfId="0" applyNumberFormat="1" applyFont="1" applyFill="1" applyBorder="1" applyAlignment="1"/>
    <xf numFmtId="168" fontId="3" fillId="2" borderId="50" xfId="0" applyNumberFormat="1" applyFont="1" applyFill="1" applyBorder="1" applyAlignment="1"/>
    <xf numFmtId="168" fontId="4" fillId="0" borderId="17" xfId="0" applyNumberFormat="1" applyFont="1" applyFill="1" applyBorder="1" applyAlignment="1" applyProtection="1"/>
    <xf numFmtId="168" fontId="4" fillId="0" borderId="22" xfId="0" applyNumberFormat="1" applyFont="1" applyFill="1" applyBorder="1" applyAlignment="1" applyProtection="1">
      <alignment vertical="center"/>
    </xf>
    <xf numFmtId="168" fontId="4" fillId="0" borderId="22" xfId="0" applyNumberFormat="1" applyFont="1" applyFill="1" applyBorder="1" applyAlignment="1" applyProtection="1"/>
    <xf numFmtId="168" fontId="4" fillId="0" borderId="30" xfId="0" applyNumberFormat="1" applyFont="1" applyFill="1" applyBorder="1" applyAlignment="1" applyProtection="1"/>
    <xf numFmtId="168" fontId="4" fillId="0" borderId="44" xfId="0" applyNumberFormat="1" applyFont="1" applyFill="1" applyBorder="1" applyAlignment="1" applyProtection="1"/>
    <xf numFmtId="168" fontId="7" fillId="2" borderId="4" xfId="0" applyNumberFormat="1" applyFont="1" applyFill="1" applyBorder="1" applyAlignment="1" applyProtection="1"/>
    <xf numFmtId="168" fontId="7" fillId="2" borderId="10" xfId="0" quotePrefix="1" applyNumberFormat="1" applyFont="1" applyFill="1" applyBorder="1" applyAlignment="1" applyProtection="1"/>
    <xf numFmtId="164" fontId="4" fillId="2" borderId="33" xfId="0" applyNumberFormat="1" applyFont="1" applyFill="1" applyBorder="1" applyAlignment="1" applyProtection="1"/>
    <xf numFmtId="164" fontId="4" fillId="2" borderId="37" xfId="0" applyNumberFormat="1" applyFont="1" applyFill="1" applyBorder="1" applyAlignment="1" applyProtection="1">
      <alignment vertical="center"/>
    </xf>
    <xf numFmtId="164" fontId="4" fillId="2" borderId="37" xfId="0" applyNumberFormat="1" applyFont="1" applyFill="1" applyBorder="1" applyAlignment="1" applyProtection="1"/>
    <xf numFmtId="164" fontId="4" fillId="2" borderId="35" xfId="0" applyNumberFormat="1" applyFont="1" applyFill="1" applyBorder="1" applyAlignment="1" applyProtection="1"/>
    <xf numFmtId="164" fontId="4" fillId="2" borderId="69" xfId="0" applyNumberFormat="1" applyFont="1" applyFill="1" applyBorder="1" applyAlignment="1" applyProtection="1"/>
    <xf numFmtId="168" fontId="5" fillId="2" borderId="50" xfId="0" applyNumberFormat="1" applyFont="1" applyFill="1" applyBorder="1" applyAlignment="1"/>
    <xf numFmtId="168" fontId="5" fillId="2" borderId="51" xfId="0" quotePrefix="1" applyNumberFormat="1" applyFont="1" applyFill="1" applyBorder="1" applyAlignment="1" applyProtection="1"/>
    <xf numFmtId="168" fontId="5" fillId="2" borderId="52" xfId="0" quotePrefix="1" applyNumberFormat="1" applyFont="1" applyFill="1" applyBorder="1" applyAlignment="1" applyProtection="1"/>
    <xf numFmtId="168" fontId="7" fillId="2" borderId="73" xfId="0" applyNumberFormat="1" applyFont="1" applyFill="1" applyBorder="1" applyAlignment="1" applyProtection="1"/>
    <xf numFmtId="168" fontId="4" fillId="2" borderId="33" xfId="0" applyNumberFormat="1" applyFont="1" applyFill="1" applyBorder="1" applyAlignment="1" applyProtection="1"/>
    <xf numFmtId="168" fontId="4" fillId="2" borderId="37" xfId="0" applyNumberFormat="1" applyFont="1" applyFill="1" applyBorder="1" applyAlignment="1" applyProtection="1"/>
    <xf numFmtId="168" fontId="4" fillId="2" borderId="35" xfId="0" applyNumberFormat="1" applyFont="1" applyFill="1" applyBorder="1" applyAlignment="1" applyProtection="1"/>
    <xf numFmtId="168" fontId="4" fillId="2" borderId="83" xfId="0" applyNumberFormat="1" applyFont="1" applyFill="1" applyBorder="1" applyAlignment="1" applyProtection="1"/>
    <xf numFmtId="168" fontId="4" fillId="2" borderId="84" xfId="0" applyNumberFormat="1" applyFont="1" applyFill="1" applyBorder="1" applyAlignment="1" applyProtection="1">
      <alignment vertical="center"/>
    </xf>
    <xf numFmtId="168" fontId="4" fillId="2" borderId="84" xfId="0" applyNumberFormat="1" applyFont="1" applyFill="1" applyBorder="1" applyAlignment="1" applyProtection="1"/>
    <xf numFmtId="168" fontId="4" fillId="2" borderId="86" xfId="0" applyNumberFormat="1" applyFont="1" applyFill="1" applyBorder="1" applyAlignment="1" applyProtection="1"/>
    <xf numFmtId="168" fontId="4" fillId="2" borderId="85" xfId="0" applyNumberFormat="1" applyFont="1" applyFill="1" applyBorder="1" applyAlignment="1" applyProtection="1"/>
    <xf numFmtId="168" fontId="4" fillId="2" borderId="32" xfId="1" applyNumberFormat="1" applyFont="1" applyFill="1" applyBorder="1" applyAlignment="1"/>
    <xf numFmtId="168" fontId="4" fillId="2" borderId="33" xfId="1" applyNumberFormat="1" applyFont="1" applyFill="1" applyBorder="1" applyAlignment="1"/>
    <xf numFmtId="168" fontId="4" fillId="2" borderId="36" xfId="1" applyNumberFormat="1" applyFont="1" applyFill="1" applyBorder="1" applyAlignment="1"/>
    <xf numFmtId="168" fontId="4" fillId="2" borderId="34" xfId="1" applyNumberFormat="1" applyFont="1" applyFill="1" applyBorder="1" applyAlignment="1"/>
    <xf numFmtId="9" fontId="1" fillId="5" borderId="38" xfId="0" applyNumberFormat="1" applyFont="1" applyFill="1" applyBorder="1" applyAlignment="1">
      <alignment horizontal="center" wrapText="1"/>
    </xf>
    <xf numFmtId="9" fontId="1" fillId="5" borderId="39" xfId="0" applyNumberFormat="1" applyFont="1" applyFill="1" applyBorder="1" applyAlignment="1">
      <alignment horizontal="center" wrapText="1"/>
    </xf>
    <xf numFmtId="9" fontId="1" fillId="2" borderId="40" xfId="0" applyNumberFormat="1" applyFont="1" applyFill="1" applyBorder="1" applyAlignment="1">
      <alignment horizontal="center" wrapText="1"/>
    </xf>
    <xf numFmtId="9" fontId="1" fillId="2" borderId="41" xfId="0" applyNumberFormat="1" applyFont="1" applyFill="1" applyBorder="1" applyAlignment="1">
      <alignment horizontal="center" wrapText="1"/>
    </xf>
    <xf numFmtId="9" fontId="1" fillId="5" borderId="36" xfId="0" applyNumberFormat="1" applyFont="1" applyFill="1" applyBorder="1" applyAlignment="1">
      <alignment horizontal="center" wrapText="1"/>
    </xf>
    <xf numFmtId="9" fontId="1" fillId="2" borderId="34" xfId="0" applyNumberFormat="1" applyFont="1" applyFill="1" applyBorder="1" applyAlignment="1">
      <alignment horizontal="center" wrapText="1"/>
    </xf>
    <xf numFmtId="9" fontId="1" fillId="5" borderId="37" xfId="0" applyNumberFormat="1" applyFont="1" applyFill="1" applyBorder="1" applyAlignment="1">
      <alignment horizontal="center" wrapText="1"/>
    </xf>
    <xf numFmtId="9" fontId="1" fillId="2" borderId="35" xfId="0" applyNumberFormat="1" applyFont="1" applyFill="1" applyBorder="1" applyAlignment="1">
      <alignment horizontal="center" wrapText="1"/>
    </xf>
    <xf numFmtId="6" fontId="1" fillId="0" borderId="32" xfId="0" applyNumberFormat="1" applyFont="1" applyFill="1" applyBorder="1" applyAlignment="1">
      <alignment horizontal="center" wrapText="1"/>
    </xf>
    <xf numFmtId="6" fontId="1" fillId="0" borderId="33" xfId="0" applyNumberFormat="1" applyFont="1" applyFill="1" applyBorder="1" applyAlignment="1">
      <alignment horizontal="center" wrapText="1"/>
    </xf>
    <xf numFmtId="6" fontId="1" fillId="0" borderId="32" xfId="0" applyNumberFormat="1" applyFont="1" applyBorder="1" applyAlignment="1">
      <alignment horizontal="center" wrapText="1"/>
    </xf>
    <xf numFmtId="6" fontId="1" fillId="0" borderId="33" xfId="0" applyNumberFormat="1" applyFont="1" applyBorder="1" applyAlignment="1">
      <alignment horizontal="center" wrapText="1"/>
    </xf>
    <xf numFmtId="6" fontId="1" fillId="5" borderId="36" xfId="0" applyNumberFormat="1" applyFont="1" applyFill="1" applyBorder="1" applyAlignment="1">
      <alignment horizontal="center" wrapText="1"/>
    </xf>
    <xf numFmtId="6" fontId="1" fillId="5" borderId="37" xfId="0" applyNumberFormat="1" applyFont="1" applyFill="1" applyBorder="1" applyAlignment="1">
      <alignment horizontal="center" wrapText="1"/>
    </xf>
    <xf numFmtId="6" fontId="1" fillId="2" borderId="36" xfId="0" applyNumberFormat="1" applyFont="1" applyFill="1" applyBorder="1" applyAlignment="1">
      <alignment horizontal="center" wrapText="1"/>
    </xf>
    <xf numFmtId="6" fontId="1" fillId="2" borderId="37" xfId="0" applyNumberFormat="1" applyFont="1" applyFill="1" applyBorder="1" applyAlignment="1">
      <alignment horizontal="center" wrapText="1"/>
    </xf>
    <xf numFmtId="10" fontId="4" fillId="0" borderId="4" xfId="0" applyNumberFormat="1" applyFont="1" applyFill="1" applyBorder="1" applyAlignment="1">
      <alignment horizontal="center" wrapText="1"/>
    </xf>
    <xf numFmtId="0" fontId="4" fillId="0" borderId="0" xfId="0" applyFont="1" applyAlignment="1">
      <alignment wrapText="1"/>
    </xf>
    <xf numFmtId="168" fontId="4" fillId="0" borderId="0" xfId="0" applyNumberFormat="1" applyFont="1" applyAlignment="1">
      <alignment wrapText="1"/>
    </xf>
    <xf numFmtId="164" fontId="1" fillId="0" borderId="4" xfId="0" applyNumberFormat="1" applyFont="1" applyFill="1" applyBorder="1" applyAlignment="1">
      <alignment horizontal="center" vertical="center" wrapText="1"/>
    </xf>
    <xf numFmtId="0" fontId="4" fillId="0" borderId="4" xfId="0" applyFont="1" applyFill="1" applyBorder="1" applyAlignment="1">
      <alignment horizontal="center" vertical="center" wrapText="1"/>
    </xf>
    <xf numFmtId="9" fontId="1" fillId="2" borderId="38" xfId="0" applyNumberFormat="1" applyFont="1" applyFill="1" applyBorder="1" applyAlignment="1">
      <alignment horizontal="center" wrapText="1"/>
    </xf>
    <xf numFmtId="9" fontId="1" fillId="2" borderId="27" xfId="0" applyNumberFormat="1" applyFont="1" applyFill="1" applyBorder="1" applyAlignment="1">
      <alignment horizontal="center" wrapText="1"/>
    </xf>
    <xf numFmtId="9" fontId="1" fillId="2" borderId="39" xfId="0" applyNumberFormat="1" applyFont="1" applyFill="1" applyBorder="1" applyAlignment="1">
      <alignment horizontal="center" wrapText="1"/>
    </xf>
    <xf numFmtId="9" fontId="1" fillId="0" borderId="4" xfId="0" applyNumberFormat="1" applyFont="1" applyFill="1" applyBorder="1" applyAlignment="1">
      <alignment horizontal="center" wrapText="1"/>
    </xf>
    <xf numFmtId="9" fontId="4" fillId="0" borderId="4" xfId="0" applyNumberFormat="1" applyFont="1" applyFill="1" applyBorder="1" applyAlignment="1">
      <alignment horizontal="center"/>
    </xf>
    <xf numFmtId="6" fontId="1" fillId="5" borderId="68" xfId="0" applyNumberFormat="1" applyFont="1" applyFill="1" applyBorder="1" applyAlignment="1">
      <alignment horizontal="center" wrapText="1"/>
    </xf>
    <xf numFmtId="6" fontId="1" fillId="5" borderId="69" xfId="0" applyNumberFormat="1" applyFont="1" applyFill="1" applyBorder="1" applyAlignment="1">
      <alignment horizontal="center" wrapText="1"/>
    </xf>
    <xf numFmtId="6" fontId="1" fillId="0" borderId="45" xfId="0" applyNumberFormat="1" applyFont="1" applyFill="1" applyBorder="1" applyAlignment="1">
      <alignment horizontal="center" wrapText="1"/>
    </xf>
    <xf numFmtId="6" fontId="1" fillId="0" borderId="47" xfId="0" applyNumberFormat="1" applyFont="1" applyFill="1" applyBorder="1" applyAlignment="1">
      <alignment horizontal="center" wrapText="1"/>
    </xf>
    <xf numFmtId="6" fontId="1" fillId="0" borderId="45" xfId="0" applyNumberFormat="1" applyFont="1" applyBorder="1" applyAlignment="1">
      <alignment horizontal="center" wrapText="1"/>
    </xf>
    <xf numFmtId="6" fontId="1" fillId="0" borderId="47" xfId="0" applyNumberFormat="1" applyFont="1" applyBorder="1" applyAlignment="1">
      <alignment horizontal="center" wrapText="1"/>
    </xf>
    <xf numFmtId="6" fontId="1" fillId="2" borderId="68" xfId="0" applyNumberFormat="1" applyFont="1" applyFill="1" applyBorder="1" applyAlignment="1">
      <alignment horizontal="center" wrapText="1"/>
    </xf>
    <xf numFmtId="6" fontId="1" fillId="2" borderId="69" xfId="0" applyNumberFormat="1" applyFont="1" applyFill="1" applyBorder="1" applyAlignment="1">
      <alignment horizontal="center" wrapText="1"/>
    </xf>
    <xf numFmtId="9" fontId="1" fillId="5" borderId="34" xfId="0" applyNumberFormat="1" applyFont="1" applyFill="1" applyBorder="1" applyAlignment="1">
      <alignment horizontal="center" wrapText="1"/>
    </xf>
    <xf numFmtId="9" fontId="1" fillId="5" borderId="35" xfId="0" applyNumberFormat="1" applyFont="1" applyFill="1" applyBorder="1" applyAlignment="1">
      <alignment horizontal="center" wrapText="1"/>
    </xf>
    <xf numFmtId="6" fontId="1" fillId="5" borderId="32" xfId="0" applyNumberFormat="1" applyFont="1" applyFill="1" applyBorder="1" applyAlignment="1">
      <alignment horizontal="center" wrapText="1"/>
    </xf>
    <xf numFmtId="6" fontId="1" fillId="5" borderId="33" xfId="0" applyNumberFormat="1" applyFont="1" applyFill="1" applyBorder="1" applyAlignment="1">
      <alignment horizontal="center" wrapText="1"/>
    </xf>
    <xf numFmtId="0" fontId="1" fillId="0" borderId="0" xfId="0" applyFont="1" applyAlignment="1">
      <alignment horizontal="center" vertical="center" wrapText="1"/>
    </xf>
    <xf numFmtId="168" fontId="4" fillId="2" borderId="39" xfId="0" applyNumberFormat="1" applyFont="1" applyFill="1" applyBorder="1" applyAlignment="1" applyProtection="1">
      <alignment vertical="center"/>
    </xf>
    <xf numFmtId="168" fontId="4" fillId="0" borderId="39" xfId="0" applyNumberFormat="1" applyFont="1" applyFill="1" applyBorder="1" applyAlignment="1" applyProtection="1">
      <alignment vertical="center"/>
    </xf>
    <xf numFmtId="168" fontId="4" fillId="2" borderId="76" xfId="0" applyNumberFormat="1" applyFont="1" applyFill="1" applyBorder="1" applyAlignment="1" applyProtection="1">
      <alignment vertical="center"/>
    </xf>
    <xf numFmtId="168" fontId="4" fillId="0" borderId="79" xfId="0" applyNumberFormat="1" applyFont="1" applyFill="1" applyBorder="1" applyAlignment="1" applyProtection="1">
      <alignment vertical="center"/>
    </xf>
    <xf numFmtId="168" fontId="4" fillId="0" borderId="38" xfId="0" applyNumberFormat="1" applyFont="1" applyFill="1" applyBorder="1" applyAlignment="1" applyProtection="1">
      <alignment vertical="center"/>
    </xf>
    <xf numFmtId="168" fontId="1" fillId="2" borderId="38" xfId="0" applyNumberFormat="1" applyFont="1" applyFill="1" applyBorder="1" applyAlignment="1">
      <alignment vertical="center"/>
    </xf>
    <xf numFmtId="168" fontId="4" fillId="0" borderId="76" xfId="0" applyNumberFormat="1" applyFont="1" applyFill="1" applyBorder="1" applyAlignment="1" applyProtection="1">
      <alignment vertical="center"/>
    </xf>
    <xf numFmtId="0" fontId="1" fillId="0" borderId="0" xfId="0" applyFont="1" applyAlignment="1"/>
    <xf numFmtId="164" fontId="1" fillId="0" borderId="0" xfId="0" applyNumberFormat="1" applyFont="1" applyFill="1" applyBorder="1" applyAlignment="1">
      <alignment horizontal="left"/>
    </xf>
    <xf numFmtId="164" fontId="1" fillId="0" borderId="0" xfId="0" applyNumberFormat="1" applyFont="1" applyFill="1" applyBorder="1" applyAlignment="1"/>
    <xf numFmtId="168" fontId="1" fillId="0" borderId="0" xfId="0" applyNumberFormat="1" applyFont="1" applyAlignment="1">
      <alignment horizontal="center" vertical="center" wrapText="1"/>
    </xf>
    <xf numFmtId="164" fontId="1" fillId="0" borderId="0" xfId="0" applyNumberFormat="1" applyFont="1" applyAlignment="1">
      <alignment horizontal="center" vertical="center" wrapText="1"/>
    </xf>
    <xf numFmtId="0" fontId="1" fillId="0" borderId="0" xfId="0" applyFont="1" applyAlignment="1">
      <alignment horizontal="left" wrapText="1"/>
    </xf>
    <xf numFmtId="6" fontId="1" fillId="5" borderId="43" xfId="0" applyNumberFormat="1" applyFont="1" applyFill="1" applyBorder="1" applyAlignment="1">
      <alignment horizontal="center" wrapText="1"/>
    </xf>
    <xf numFmtId="164" fontId="1" fillId="0" borderId="33" xfId="0" applyNumberFormat="1" applyFont="1" applyBorder="1" applyAlignment="1"/>
    <xf numFmtId="164" fontId="1" fillId="0" borderId="35" xfId="0" applyNumberFormat="1" applyFont="1" applyBorder="1" applyAlignment="1"/>
    <xf numFmtId="164" fontId="1" fillId="0" borderId="37" xfId="0" applyNumberFormat="1" applyFont="1" applyBorder="1" applyAlignment="1"/>
    <xf numFmtId="168" fontId="1" fillId="0" borderId="32" xfId="0" applyNumberFormat="1" applyFont="1" applyBorder="1" applyAlignment="1"/>
    <xf numFmtId="168" fontId="1" fillId="0" borderId="53" xfId="0" applyNumberFormat="1" applyFont="1" applyBorder="1" applyAlignment="1"/>
    <xf numFmtId="168" fontId="1" fillId="0" borderId="33" xfId="0" applyNumberFormat="1" applyFont="1" applyBorder="1" applyAlignment="1"/>
    <xf numFmtId="168" fontId="1" fillId="0" borderId="33" xfId="0" applyNumberFormat="1" applyFont="1" applyFill="1" applyBorder="1" applyAlignment="1"/>
    <xf numFmtId="164" fontId="1" fillId="0" borderId="53" xfId="0" applyNumberFormat="1" applyFont="1" applyBorder="1" applyAlignment="1"/>
    <xf numFmtId="168" fontId="1" fillId="0" borderId="34" xfId="0" applyNumberFormat="1" applyFont="1" applyBorder="1" applyAlignment="1"/>
    <xf numFmtId="168" fontId="1" fillId="0" borderId="55" xfId="0" applyNumberFormat="1" applyFont="1" applyBorder="1" applyAlignment="1"/>
    <xf numFmtId="168" fontId="1" fillId="0" borderId="35" xfId="0" applyNumberFormat="1" applyFont="1" applyBorder="1" applyAlignment="1"/>
    <xf numFmtId="168" fontId="1" fillId="0" borderId="35" xfId="0" applyNumberFormat="1" applyFont="1" applyFill="1" applyBorder="1" applyAlignment="1"/>
    <xf numFmtId="164" fontId="1" fillId="0" borderId="55" xfId="0" applyNumberFormat="1" applyFont="1" applyBorder="1" applyAlignment="1"/>
    <xf numFmtId="168" fontId="1" fillId="0" borderId="36" xfId="0" applyNumberFormat="1" applyFont="1" applyBorder="1" applyAlignment="1"/>
    <xf numFmtId="168" fontId="1" fillId="0" borderId="54" xfId="0" applyNumberFormat="1" applyFont="1" applyBorder="1" applyAlignment="1"/>
    <xf numFmtId="168" fontId="1" fillId="0" borderId="37" xfId="0" applyNumberFormat="1" applyFont="1" applyBorder="1" applyAlignment="1"/>
    <xf numFmtId="168" fontId="1" fillId="0" borderId="37" xfId="0" applyNumberFormat="1" applyFont="1" applyFill="1" applyBorder="1" applyAlignment="1"/>
    <xf numFmtId="164" fontId="1" fillId="0" borderId="54" xfId="0" applyNumberFormat="1" applyFont="1" applyBorder="1" applyAlignment="1"/>
    <xf numFmtId="164" fontId="1" fillId="3" borderId="12" xfId="0" applyNumberFormat="1" applyFont="1" applyFill="1" applyBorder="1" applyAlignment="1">
      <alignment horizontal="center" vertical="center" wrapText="1"/>
    </xf>
    <xf numFmtId="168" fontId="1" fillId="0" borderId="0" xfId="0" applyNumberFormat="1" applyFont="1" applyBorder="1" applyAlignment="1"/>
    <xf numFmtId="168" fontId="1" fillId="2" borderId="45" xfId="0" applyNumberFormat="1" applyFont="1" applyFill="1" applyBorder="1" applyAlignment="1">
      <alignment horizontal="center" vertical="center" wrapText="1"/>
    </xf>
    <xf numFmtId="168" fontId="1" fillId="2" borderId="46" xfId="0" applyNumberFormat="1" applyFont="1" applyFill="1" applyBorder="1" applyAlignment="1">
      <alignment horizontal="center" vertical="center" wrapText="1"/>
    </xf>
    <xf numFmtId="168" fontId="1" fillId="2" borderId="47" xfId="0" applyNumberFormat="1" applyFont="1" applyFill="1" applyBorder="1" applyAlignment="1">
      <alignment horizontal="center" vertical="center" wrapText="1"/>
    </xf>
    <xf numFmtId="164" fontId="1" fillId="2" borderId="45" xfId="0" applyNumberFormat="1" applyFont="1" applyFill="1" applyBorder="1" applyAlignment="1">
      <alignment horizontal="center" vertical="center" wrapText="1"/>
    </xf>
    <xf numFmtId="0" fontId="1" fillId="2" borderId="46" xfId="0" applyFont="1" applyFill="1" applyBorder="1" applyAlignment="1">
      <alignment horizontal="center" vertical="center" wrapText="1"/>
    </xf>
    <xf numFmtId="164" fontId="1" fillId="2" borderId="47" xfId="0" applyNumberFormat="1" applyFont="1" applyFill="1" applyBorder="1" applyAlignment="1">
      <alignment horizontal="center" vertical="center" wrapText="1"/>
    </xf>
    <xf numFmtId="164" fontId="1" fillId="2" borderId="35" xfId="0" applyNumberFormat="1" applyFont="1" applyFill="1" applyBorder="1" applyAlignment="1">
      <alignment horizontal="left"/>
    </xf>
    <xf numFmtId="168" fontId="1" fillId="0" borderId="36" xfId="0" applyNumberFormat="1" applyFont="1" applyBorder="1" applyAlignment="1">
      <alignment vertical="center"/>
    </xf>
    <xf numFmtId="168" fontId="1" fillId="0" borderId="54" xfId="0" applyNumberFormat="1" applyFont="1" applyBorder="1" applyAlignment="1">
      <alignment vertical="center"/>
    </xf>
    <xf numFmtId="168" fontId="1" fillId="0" borderId="37" xfId="0" applyNumberFormat="1" applyFont="1" applyBorder="1" applyAlignment="1">
      <alignment vertical="center"/>
    </xf>
    <xf numFmtId="168" fontId="1" fillId="0" borderId="37" xfId="0" applyNumberFormat="1" applyFont="1" applyFill="1" applyBorder="1" applyAlignment="1">
      <alignment vertical="center"/>
    </xf>
    <xf numFmtId="164" fontId="1" fillId="0" borderId="54" xfId="0" applyNumberFormat="1" applyFont="1" applyBorder="1" applyAlignment="1">
      <alignment vertical="center"/>
    </xf>
    <xf numFmtId="164" fontId="1" fillId="0" borderId="37" xfId="0" applyNumberFormat="1" applyFont="1" applyBorder="1" applyAlignment="1">
      <alignment vertical="center"/>
    </xf>
    <xf numFmtId="168" fontId="1" fillId="0" borderId="32" xfId="0" applyNumberFormat="1" applyFont="1" applyBorder="1" applyAlignment="1">
      <alignment horizontal="center"/>
    </xf>
    <xf numFmtId="168" fontId="1" fillId="0" borderId="34" xfId="0" applyNumberFormat="1" applyFont="1" applyBorder="1" applyAlignment="1">
      <alignment horizontal="center"/>
    </xf>
    <xf numFmtId="168" fontId="1" fillId="0" borderId="0" xfId="0" applyNumberFormat="1" applyFont="1" applyBorder="1" applyAlignment="1">
      <alignment horizontal="center"/>
    </xf>
    <xf numFmtId="168" fontId="1" fillId="0" borderId="36" xfId="0" applyNumberFormat="1" applyFont="1" applyBorder="1" applyAlignment="1">
      <alignment horizontal="center" vertical="center"/>
    </xf>
    <xf numFmtId="168" fontId="1" fillId="0" borderId="36" xfId="0" applyNumberFormat="1" applyFont="1" applyBorder="1" applyAlignment="1">
      <alignment horizontal="center"/>
    </xf>
    <xf numFmtId="168" fontId="1" fillId="0" borderId="32" xfId="0" applyNumberFormat="1" applyFont="1" applyFill="1" applyBorder="1" applyAlignment="1">
      <alignment horizontal="center"/>
    </xf>
    <xf numFmtId="0" fontId="1" fillId="0" borderId="34" xfId="0" applyFont="1" applyFill="1" applyBorder="1" applyAlignment="1">
      <alignment horizontal="center"/>
    </xf>
    <xf numFmtId="0" fontId="1" fillId="0" borderId="32" xfId="0" applyFont="1" applyFill="1" applyBorder="1" applyAlignment="1">
      <alignment horizontal="center"/>
    </xf>
    <xf numFmtId="0" fontId="1" fillId="0" borderId="36" xfId="0" applyFont="1" applyFill="1" applyBorder="1" applyAlignment="1">
      <alignment horizontal="center" vertical="center"/>
    </xf>
    <xf numFmtId="0" fontId="1" fillId="0" borderId="36" xfId="0" applyFont="1" applyFill="1" applyBorder="1" applyAlignment="1">
      <alignment horizontal="center"/>
    </xf>
    <xf numFmtId="164" fontId="3" fillId="0" borderId="7" xfId="0" applyNumberFormat="1" applyFont="1" applyFill="1" applyBorder="1" applyAlignment="1">
      <alignment horizontal="center" vertical="center" wrapText="1"/>
    </xf>
    <xf numFmtId="1" fontId="1" fillId="0" borderId="0" xfId="0" applyNumberFormat="1" applyFont="1" applyBorder="1" applyAlignment="1">
      <alignment horizontal="center" vertical="center"/>
    </xf>
    <xf numFmtId="0" fontId="1" fillId="0" borderId="0" xfId="0" applyFont="1" applyBorder="1" applyAlignment="1">
      <alignment vertical="center" wrapText="1"/>
    </xf>
    <xf numFmtId="168" fontId="1" fillId="0" borderId="18" xfId="0" applyNumberFormat="1" applyFont="1" applyBorder="1" applyAlignment="1">
      <alignment horizontal="center"/>
    </xf>
    <xf numFmtId="168" fontId="1" fillId="0" borderId="71" xfId="0" applyNumberFormat="1" applyFont="1" applyBorder="1" applyAlignment="1">
      <alignment horizontal="center"/>
    </xf>
    <xf numFmtId="168" fontId="1" fillId="0" borderId="70" xfId="0" applyNumberFormat="1" applyFont="1" applyBorder="1" applyAlignment="1">
      <alignment horizontal="center" vertical="center"/>
    </xf>
    <xf numFmtId="168" fontId="1" fillId="0" borderId="70" xfId="0" applyNumberFormat="1" applyFont="1" applyBorder="1" applyAlignment="1">
      <alignment horizontal="center"/>
    </xf>
    <xf numFmtId="168" fontId="1" fillId="2" borderId="72" xfId="0" applyNumberFormat="1" applyFont="1" applyFill="1" applyBorder="1" applyAlignment="1">
      <alignment horizontal="center" vertical="center" wrapText="1"/>
    </xf>
    <xf numFmtId="164" fontId="1" fillId="2" borderId="46" xfId="0" applyNumberFormat="1" applyFont="1" applyFill="1" applyBorder="1" applyAlignment="1">
      <alignment horizontal="center" vertical="center" wrapText="1"/>
    </xf>
    <xf numFmtId="0" fontId="1" fillId="0" borderId="0" xfId="0" applyFont="1" applyBorder="1" applyAlignment="1">
      <alignment horizontal="center" vertical="center" wrapText="1"/>
    </xf>
    <xf numFmtId="0" fontId="1" fillId="0" borderId="0" xfId="0" applyFont="1" applyBorder="1" applyAlignment="1">
      <alignment horizontal="center" vertical="center"/>
    </xf>
    <xf numFmtId="164" fontId="1" fillId="2" borderId="90" xfId="0" applyNumberFormat="1" applyFont="1" applyFill="1" applyBorder="1" applyAlignment="1">
      <alignment horizontal="center" vertical="center" wrapText="1"/>
    </xf>
    <xf numFmtId="0" fontId="1" fillId="2" borderId="45" xfId="0" applyFont="1" applyFill="1" applyBorder="1" applyAlignment="1">
      <alignment horizontal="center" vertical="center" wrapText="1"/>
    </xf>
    <xf numFmtId="0" fontId="1" fillId="2" borderId="47" xfId="0" applyFont="1" applyFill="1" applyBorder="1" applyAlignment="1">
      <alignment horizontal="center" vertical="center" wrapText="1"/>
    </xf>
    <xf numFmtId="0" fontId="3" fillId="0" borderId="0" xfId="0" applyFont="1" applyFill="1" applyBorder="1" applyAlignment="1">
      <alignment horizontal="center" vertical="center" textRotation="90"/>
    </xf>
    <xf numFmtId="164" fontId="3" fillId="0" borderId="7" xfId="0" applyNumberFormat="1" applyFont="1" applyFill="1" applyBorder="1" applyAlignment="1"/>
    <xf numFmtId="0" fontId="3" fillId="0" borderId="7" xfId="0" applyFont="1" applyFill="1" applyBorder="1" applyAlignment="1"/>
    <xf numFmtId="168" fontId="3" fillId="0" borderId="7" xfId="0" applyNumberFormat="1" applyFont="1" applyFill="1" applyBorder="1" applyAlignment="1"/>
    <xf numFmtId="168" fontId="7" fillId="0" borderId="7" xfId="0" applyNumberFormat="1" applyFont="1" applyFill="1" applyBorder="1" applyAlignment="1" applyProtection="1"/>
    <xf numFmtId="0" fontId="3" fillId="0" borderId="10" xfId="0" applyFont="1" applyFill="1" applyBorder="1" applyAlignment="1">
      <alignment horizontal="center" vertical="center" textRotation="90"/>
    </xf>
    <xf numFmtId="164" fontId="3" fillId="0" borderId="4" xfId="0" applyNumberFormat="1" applyFont="1" applyFill="1" applyBorder="1" applyAlignment="1"/>
    <xf numFmtId="0" fontId="3" fillId="0" borderId="4" xfId="0" applyFont="1" applyFill="1" applyBorder="1" applyAlignment="1"/>
    <xf numFmtId="168" fontId="5" fillId="0" borderId="10" xfId="0" applyNumberFormat="1" applyFont="1" applyFill="1" applyBorder="1" applyAlignment="1"/>
    <xf numFmtId="168" fontId="7" fillId="0" borderId="10" xfId="0" quotePrefix="1" applyNumberFormat="1" applyFont="1" applyFill="1" applyBorder="1" applyAlignment="1" applyProtection="1"/>
    <xf numFmtId="168" fontId="7" fillId="0" borderId="10" xfId="0" applyNumberFormat="1" applyFont="1" applyFill="1" applyBorder="1" applyAlignment="1" applyProtection="1"/>
    <xf numFmtId="168" fontId="3" fillId="0" borderId="10" xfId="0" applyNumberFormat="1" applyFont="1" applyFill="1" applyBorder="1" applyAlignment="1">
      <alignment vertical="center"/>
    </xf>
    <xf numFmtId="168" fontId="3" fillId="0" borderId="10" xfId="0" applyNumberFormat="1" applyFont="1" applyFill="1" applyBorder="1" applyAlignment="1"/>
    <xf numFmtId="168" fontId="5" fillId="0" borderId="10" xfId="0" quotePrefix="1" applyNumberFormat="1" applyFont="1" applyFill="1" applyBorder="1" applyAlignment="1" applyProtection="1"/>
    <xf numFmtId="168" fontId="4" fillId="2" borderId="18" xfId="0" applyNumberFormat="1" applyFont="1" applyFill="1" applyBorder="1" applyAlignment="1" applyProtection="1"/>
    <xf numFmtId="168" fontId="4" fillId="2" borderId="70" xfId="0" applyNumberFormat="1" applyFont="1" applyFill="1" applyBorder="1" applyAlignment="1" applyProtection="1">
      <alignment vertical="center"/>
    </xf>
    <xf numFmtId="168" fontId="4" fillId="2" borderId="70" xfId="0" applyNumberFormat="1" applyFont="1" applyFill="1" applyBorder="1" applyAlignment="1" applyProtection="1"/>
    <xf numFmtId="168" fontId="4" fillId="2" borderId="71" xfId="0" applyNumberFormat="1" applyFont="1" applyFill="1" applyBorder="1" applyAlignment="1" applyProtection="1"/>
    <xf numFmtId="168" fontId="4" fillId="2" borderId="82" xfId="0" applyNumberFormat="1" applyFont="1" applyFill="1" applyBorder="1" applyAlignment="1" applyProtection="1"/>
    <xf numFmtId="168" fontId="4" fillId="2" borderId="77" xfId="0" applyNumberFormat="1" applyFont="1" applyFill="1" applyBorder="1" applyAlignment="1" applyProtection="1">
      <alignment vertical="center"/>
    </xf>
    <xf numFmtId="164" fontId="4" fillId="2" borderId="39" xfId="0" applyNumberFormat="1" applyFont="1" applyFill="1" applyBorder="1" applyAlignment="1" applyProtection="1"/>
    <xf numFmtId="0" fontId="1" fillId="0" borderId="0" xfId="0" applyFont="1"/>
    <xf numFmtId="0" fontId="1" fillId="0" borderId="0" xfId="0" applyFont="1" applyFill="1" applyBorder="1"/>
    <xf numFmtId="164" fontId="1" fillId="2" borderId="19" xfId="0" applyNumberFormat="1" applyFont="1" applyFill="1" applyBorder="1" applyAlignment="1">
      <alignment horizontal="left"/>
    </xf>
    <xf numFmtId="164" fontId="1" fillId="2" borderId="23" xfId="0" applyNumberFormat="1" applyFont="1" applyFill="1" applyBorder="1" applyAlignment="1">
      <alignment horizontal="left"/>
    </xf>
    <xf numFmtId="164" fontId="1" fillId="2" borderId="31" xfId="0" applyNumberFormat="1" applyFont="1" applyFill="1" applyBorder="1" applyAlignment="1">
      <alignment horizontal="left"/>
    </xf>
    <xf numFmtId="164" fontId="1" fillId="2" borderId="43" xfId="0" applyNumberFormat="1" applyFont="1" applyFill="1" applyBorder="1" applyAlignment="1">
      <alignment horizontal="left"/>
    </xf>
    <xf numFmtId="168" fontId="1" fillId="2" borderId="68" xfId="0" applyNumberFormat="1" applyFont="1" applyFill="1" applyBorder="1" applyAlignment="1"/>
    <xf numFmtId="168" fontId="4" fillId="2" borderId="78" xfId="0" applyNumberFormat="1" applyFont="1" applyFill="1" applyBorder="1" applyAlignment="1" applyProtection="1"/>
    <xf numFmtId="168" fontId="4" fillId="2" borderId="69" xfId="0" applyNumberFormat="1" applyFont="1" applyFill="1" applyBorder="1" applyAlignment="1" applyProtection="1"/>
    <xf numFmtId="168" fontId="1" fillId="2" borderId="34" xfId="0" applyNumberFormat="1" applyFont="1" applyFill="1" applyBorder="1" applyAlignment="1">
      <alignment vertical="center"/>
    </xf>
    <xf numFmtId="168" fontId="4" fillId="2" borderId="55" xfId="0" applyNumberFormat="1" applyFont="1" applyFill="1" applyBorder="1" applyAlignment="1" applyProtection="1">
      <alignment vertical="center"/>
    </xf>
    <xf numFmtId="168" fontId="4" fillId="2" borderId="35" xfId="0" applyNumberFormat="1" applyFont="1" applyFill="1" applyBorder="1" applyAlignment="1" applyProtection="1">
      <alignment vertical="center"/>
    </xf>
    <xf numFmtId="168" fontId="4" fillId="2" borderId="71" xfId="0" applyNumberFormat="1" applyFont="1" applyFill="1" applyBorder="1" applyAlignment="1" applyProtection="1">
      <alignment vertical="center"/>
    </xf>
    <xf numFmtId="168" fontId="4" fillId="0" borderId="86" xfId="0" applyNumberFormat="1" applyFont="1" applyFill="1" applyBorder="1" applyAlignment="1" applyProtection="1">
      <alignment vertical="center"/>
    </xf>
    <xf numFmtId="168" fontId="4" fillId="0" borderId="34" xfId="0" applyNumberFormat="1" applyFont="1" applyFill="1" applyBorder="1" applyAlignment="1" applyProtection="1">
      <alignment vertical="center"/>
    </xf>
    <xf numFmtId="168" fontId="4" fillId="0" borderId="55" xfId="0" applyNumberFormat="1" applyFont="1" applyFill="1" applyBorder="1" applyAlignment="1" applyProtection="1">
      <alignment vertical="center"/>
    </xf>
    <xf numFmtId="168" fontId="4" fillId="0" borderId="35" xfId="0" applyNumberFormat="1" applyFont="1" applyFill="1" applyBorder="1" applyAlignment="1" applyProtection="1">
      <alignment vertical="center"/>
    </xf>
    <xf numFmtId="168" fontId="5" fillId="3" borderId="82" xfId="0" applyNumberFormat="1" applyFont="1" applyFill="1" applyBorder="1" applyAlignment="1" applyProtection="1">
      <alignment horizontal="center"/>
    </xf>
    <xf numFmtId="168" fontId="5" fillId="3" borderId="78" xfId="0" applyNumberFormat="1" applyFont="1" applyFill="1" applyBorder="1" applyAlignment="1" applyProtection="1"/>
    <xf numFmtId="168" fontId="1" fillId="0" borderId="0" xfId="0" applyNumberFormat="1" applyFont="1"/>
    <xf numFmtId="0" fontId="7" fillId="2" borderId="7" xfId="1" applyFont="1" applyFill="1" applyBorder="1" applyAlignment="1"/>
    <xf numFmtId="0" fontId="7" fillId="2" borderId="22" xfId="1" applyFont="1" applyFill="1" applyBorder="1" applyAlignment="1"/>
    <xf numFmtId="0" fontId="7" fillId="2" borderId="10" xfId="1" applyFont="1" applyFill="1" applyBorder="1" applyAlignment="1"/>
    <xf numFmtId="0" fontId="3" fillId="2" borderId="12" xfId="0" applyFont="1" applyFill="1" applyBorder="1" applyAlignment="1"/>
    <xf numFmtId="0" fontId="1" fillId="2" borderId="15" xfId="0" applyFont="1" applyFill="1" applyBorder="1" applyAlignment="1"/>
    <xf numFmtId="0" fontId="1" fillId="2" borderId="20" xfId="0" applyFont="1" applyFill="1" applyBorder="1" applyAlignment="1"/>
    <xf numFmtId="0" fontId="1" fillId="2" borderId="28" xfId="0" applyFont="1" applyFill="1" applyBorder="1" applyAlignment="1"/>
    <xf numFmtId="168" fontId="1" fillId="2" borderId="16" xfId="0" applyNumberFormat="1" applyFont="1" applyFill="1" applyBorder="1" applyAlignment="1"/>
    <xf numFmtId="168" fontId="1" fillId="2" borderId="21" xfId="0" applyNumberFormat="1" applyFont="1" applyFill="1" applyBorder="1" applyAlignment="1"/>
    <xf numFmtId="168" fontId="1" fillId="2" borderId="29" xfId="0" applyNumberFormat="1" applyFont="1" applyFill="1" applyBorder="1" applyAlignment="1"/>
    <xf numFmtId="168" fontId="3" fillId="3" borderId="29" xfId="0" applyNumberFormat="1" applyFont="1" applyFill="1" applyBorder="1" applyAlignment="1"/>
    <xf numFmtId="168" fontId="3" fillId="3" borderId="42" xfId="0" applyNumberFormat="1" applyFont="1" applyFill="1" applyBorder="1" applyAlignment="1"/>
    <xf numFmtId="164" fontId="1" fillId="2" borderId="35" xfId="0" applyNumberFormat="1" applyFont="1" applyFill="1" applyBorder="1" applyAlignment="1">
      <alignment horizontal="center"/>
    </xf>
    <xf numFmtId="168" fontId="1" fillId="2" borderId="53" xfId="0" applyNumberFormat="1" applyFont="1" applyFill="1" applyBorder="1" applyAlignment="1">
      <alignment horizontal="center"/>
    </xf>
    <xf numFmtId="10" fontId="1" fillId="2" borderId="54" xfId="0" applyNumberFormat="1" applyFont="1" applyFill="1" applyBorder="1" applyAlignment="1">
      <alignment horizontal="center"/>
    </xf>
    <xf numFmtId="10" fontId="1" fillId="2" borderId="55" xfId="0" applyNumberFormat="1" applyFont="1" applyFill="1" applyBorder="1" applyAlignment="1">
      <alignment horizontal="center"/>
    </xf>
    <xf numFmtId="10" fontId="3" fillId="3" borderId="78" xfId="0" applyNumberFormat="1" applyFont="1" applyFill="1" applyBorder="1" applyAlignment="1">
      <alignment horizontal="center"/>
    </xf>
    <xf numFmtId="10" fontId="3" fillId="3" borderId="55" xfId="0" applyNumberFormat="1" applyFont="1" applyFill="1" applyBorder="1" applyAlignment="1">
      <alignment horizontal="center"/>
    </xf>
    <xf numFmtId="0" fontId="1" fillId="2" borderId="19" xfId="0" applyFont="1" applyFill="1" applyBorder="1" applyAlignment="1">
      <alignment horizontal="center"/>
    </xf>
    <xf numFmtId="0" fontId="1" fillId="2" borderId="23" xfId="0" applyFont="1" applyFill="1" applyBorder="1" applyAlignment="1">
      <alignment horizontal="center"/>
    </xf>
    <xf numFmtId="166" fontId="1" fillId="2" borderId="23" xfId="0" applyNumberFormat="1" applyFont="1" applyFill="1" applyBorder="1" applyAlignment="1">
      <alignment horizontal="center"/>
    </xf>
    <xf numFmtId="164" fontId="1" fillId="3" borderId="43" xfId="0" applyNumberFormat="1" applyFont="1" applyFill="1" applyBorder="1" applyAlignment="1">
      <alignment horizontal="center"/>
    </xf>
    <xf numFmtId="168" fontId="1" fillId="3" borderId="31" xfId="0" applyNumberFormat="1" applyFont="1" applyFill="1" applyBorder="1" applyAlignment="1">
      <alignment horizontal="center"/>
    </xf>
    <xf numFmtId="0" fontId="3" fillId="3" borderId="59" xfId="0" applyFont="1" applyFill="1" applyBorder="1" applyAlignment="1"/>
    <xf numFmtId="0" fontId="3" fillId="3" borderId="28" xfId="0" applyFont="1" applyFill="1" applyBorder="1" applyAlignment="1"/>
    <xf numFmtId="6" fontId="4" fillId="0" borderId="12" xfId="0" applyNumberFormat="1" applyFont="1" applyFill="1" applyBorder="1" applyAlignment="1">
      <alignment horizontal="center" wrapText="1"/>
    </xf>
    <xf numFmtId="6" fontId="4" fillId="5" borderId="15" xfId="0" applyNumberFormat="1" applyFont="1" applyFill="1" applyBorder="1" applyAlignment="1">
      <alignment horizontal="center" wrapText="1"/>
    </xf>
    <xf numFmtId="6" fontId="4" fillId="2" borderId="15" xfId="0" applyNumberFormat="1" applyFont="1" applyFill="1" applyBorder="1" applyAlignment="1">
      <alignment horizontal="center" wrapText="1"/>
    </xf>
    <xf numFmtId="6" fontId="4" fillId="0" borderId="12" xfId="0" applyNumberFormat="1" applyFont="1" applyFill="1" applyBorder="1" applyAlignment="1">
      <alignment horizontal="center"/>
    </xf>
    <xf numFmtId="6" fontId="4" fillId="5" borderId="59" xfId="0" applyNumberFormat="1" applyFont="1" applyFill="1" applyBorder="1" applyAlignment="1">
      <alignment horizontal="center"/>
    </xf>
    <xf numFmtId="6" fontId="4" fillId="2" borderId="59" xfId="0" applyNumberFormat="1" applyFont="1" applyFill="1" applyBorder="1" applyAlignment="1">
      <alignment horizontal="center"/>
    </xf>
    <xf numFmtId="6" fontId="4" fillId="5" borderId="15" xfId="0" applyNumberFormat="1" applyFont="1" applyFill="1" applyBorder="1" applyAlignment="1">
      <alignment horizontal="center"/>
    </xf>
    <xf numFmtId="0" fontId="1" fillId="0" borderId="0" xfId="0" applyFont="1" applyAlignment="1">
      <alignment horizontal="justify" vertical="top" wrapText="1"/>
    </xf>
    <xf numFmtId="0" fontId="1" fillId="0" borderId="4" xfId="0" applyFont="1" applyFill="1" applyBorder="1" applyAlignment="1">
      <alignment horizontal="center" wrapText="1"/>
    </xf>
    <xf numFmtId="164" fontId="1" fillId="0" borderId="0" xfId="0" applyNumberFormat="1" applyFont="1"/>
    <xf numFmtId="164" fontId="1" fillId="2" borderId="32" xfId="0" applyNumberFormat="1" applyFont="1" applyFill="1" applyBorder="1" applyAlignment="1">
      <alignment horizontal="right"/>
    </xf>
    <xf numFmtId="164" fontId="1" fillId="2" borderId="34" xfId="0" applyNumberFormat="1" applyFont="1" applyFill="1" applyBorder="1" applyAlignment="1">
      <alignment horizontal="right"/>
    </xf>
    <xf numFmtId="164" fontId="1" fillId="0" borderId="0" xfId="0" applyNumberFormat="1" applyFont="1" applyFill="1" applyBorder="1" applyAlignment="1">
      <alignment horizontal="right"/>
    </xf>
    <xf numFmtId="164" fontId="1" fillId="2" borderId="36" xfId="0" applyNumberFormat="1" applyFont="1" applyFill="1" applyBorder="1" applyAlignment="1">
      <alignment horizontal="right" vertical="center"/>
    </xf>
    <xf numFmtId="164" fontId="1" fillId="2" borderId="36" xfId="0" applyNumberFormat="1" applyFont="1" applyFill="1" applyBorder="1" applyAlignment="1">
      <alignment horizontal="right"/>
    </xf>
    <xf numFmtId="10" fontId="1" fillId="0" borderId="10" xfId="0" applyNumberFormat="1" applyFont="1" applyFill="1" applyBorder="1" applyAlignment="1">
      <alignment horizontal="center" wrapText="1"/>
    </xf>
    <xf numFmtId="10" fontId="4" fillId="0" borderId="10" xfId="0" applyNumberFormat="1" applyFont="1" applyFill="1" applyBorder="1" applyAlignment="1">
      <alignment horizontal="center" wrapText="1"/>
    </xf>
    <xf numFmtId="164" fontId="1" fillId="0" borderId="16" xfId="0" applyNumberFormat="1" applyFont="1" applyFill="1" applyBorder="1" applyAlignment="1">
      <alignment horizontal="left" indent="1"/>
    </xf>
    <xf numFmtId="0" fontId="1" fillId="0" borderId="17" xfId="0" applyFont="1" applyFill="1" applyBorder="1" applyAlignment="1">
      <alignment horizontal="center" vertical="center"/>
    </xf>
    <xf numFmtId="0" fontId="1" fillId="0" borderId="19" xfId="0" applyFont="1" applyFill="1" applyBorder="1" applyAlignment="1">
      <alignment horizontal="center" vertical="center"/>
    </xf>
    <xf numFmtId="164" fontId="1" fillId="0" borderId="21" xfId="0" applyNumberFormat="1" applyFont="1" applyFill="1" applyBorder="1" applyAlignment="1">
      <alignment horizontal="left" indent="1"/>
    </xf>
    <xf numFmtId="0" fontId="1" fillId="0" borderId="22" xfId="0" applyFont="1" applyFill="1" applyBorder="1" applyAlignment="1">
      <alignment horizontal="center" vertical="center"/>
    </xf>
    <xf numFmtId="0" fontId="1" fillId="0" borderId="23" xfId="0" applyFont="1" applyFill="1" applyBorder="1" applyAlignment="1">
      <alignment horizontal="center" vertical="center"/>
    </xf>
    <xf numFmtId="164" fontId="1" fillId="0" borderId="29" xfId="0" applyNumberFormat="1" applyFont="1" applyFill="1" applyBorder="1" applyAlignment="1">
      <alignment horizontal="left" indent="1"/>
    </xf>
    <xf numFmtId="0" fontId="1" fillId="0" borderId="30" xfId="0" applyFont="1" applyFill="1" applyBorder="1" applyAlignment="1">
      <alignment horizontal="center" vertical="center"/>
    </xf>
    <xf numFmtId="0" fontId="1" fillId="0" borderId="31" xfId="0" applyFont="1" applyFill="1" applyBorder="1" applyAlignment="1">
      <alignment horizontal="center" vertical="center"/>
    </xf>
    <xf numFmtId="9" fontId="1" fillId="2" borderId="26" xfId="0" applyNumberFormat="1" applyFont="1" applyFill="1" applyBorder="1" applyAlignment="1">
      <alignment horizontal="center" wrapText="1"/>
    </xf>
    <xf numFmtId="6" fontId="7" fillId="0" borderId="12" xfId="0" applyNumberFormat="1" applyFont="1" applyFill="1" applyBorder="1" applyAlignment="1">
      <alignment horizontal="center"/>
    </xf>
    <xf numFmtId="6" fontId="7" fillId="5" borderId="15" xfId="0" applyNumberFormat="1" applyFont="1" applyFill="1" applyBorder="1" applyAlignment="1">
      <alignment horizontal="center"/>
    </xf>
    <xf numFmtId="9" fontId="7" fillId="5" borderId="28" xfId="0" applyNumberFormat="1" applyFont="1" applyFill="1" applyBorder="1" applyAlignment="1">
      <alignment horizontal="center"/>
    </xf>
    <xf numFmtId="6" fontId="7" fillId="2" borderId="15" xfId="0" applyNumberFormat="1" applyFont="1" applyFill="1" applyBorder="1" applyAlignment="1">
      <alignment horizontal="center"/>
    </xf>
    <xf numFmtId="9" fontId="7" fillId="2" borderId="28" xfId="0" applyNumberFormat="1" applyFont="1" applyFill="1" applyBorder="1" applyAlignment="1">
      <alignment horizontal="center"/>
    </xf>
    <xf numFmtId="10" fontId="7" fillId="5" borderId="12" xfId="0" applyNumberFormat="1" applyFont="1" applyFill="1" applyBorder="1" applyAlignment="1">
      <alignment horizontal="center" wrapText="1"/>
    </xf>
    <xf numFmtId="164" fontId="1" fillId="5" borderId="38" xfId="0" applyNumberFormat="1" applyFont="1" applyFill="1" applyBorder="1" applyAlignment="1">
      <alignment horizontal="center" vertical="center" wrapText="1"/>
    </xf>
    <xf numFmtId="164" fontId="1" fillId="5" borderId="39" xfId="0" applyNumberFormat="1" applyFont="1" applyFill="1" applyBorder="1" applyAlignment="1">
      <alignment horizontal="center" vertical="center" wrapText="1"/>
    </xf>
    <xf numFmtId="164" fontId="1" fillId="5" borderId="34" xfId="0" applyNumberFormat="1" applyFont="1" applyFill="1" applyBorder="1" applyAlignment="1">
      <alignment horizontal="center" vertical="center" wrapText="1"/>
    </xf>
    <xf numFmtId="164" fontId="1" fillId="5" borderId="35" xfId="0" applyNumberFormat="1" applyFont="1" applyFill="1" applyBorder="1" applyAlignment="1">
      <alignment horizontal="center" vertical="center" wrapText="1"/>
    </xf>
    <xf numFmtId="9" fontId="1" fillId="5" borderId="34" xfId="0" applyNumberFormat="1" applyFont="1" applyFill="1" applyBorder="1" applyAlignment="1">
      <alignment horizontal="center" vertical="center" wrapText="1"/>
    </xf>
    <xf numFmtId="9" fontId="1" fillId="5" borderId="35" xfId="0" applyNumberFormat="1" applyFont="1" applyFill="1" applyBorder="1" applyAlignment="1">
      <alignment horizontal="center" vertical="center" wrapText="1"/>
    </xf>
    <xf numFmtId="164" fontId="4" fillId="5" borderId="34" xfId="0" applyNumberFormat="1" applyFont="1" applyFill="1" applyBorder="1" applyAlignment="1">
      <alignment horizontal="center" vertical="center" wrapText="1"/>
    </xf>
    <xf numFmtId="164" fontId="4" fillId="5" borderId="35" xfId="0" applyNumberFormat="1" applyFont="1" applyFill="1" applyBorder="1" applyAlignment="1">
      <alignment horizontal="center" vertical="center" wrapText="1"/>
    </xf>
    <xf numFmtId="0" fontId="4" fillId="0" borderId="0" xfId="0" quotePrefix="1" applyFont="1" applyFill="1" applyBorder="1" applyAlignment="1">
      <alignment horizontal="left"/>
    </xf>
    <xf numFmtId="0" fontId="4" fillId="0" borderId="0" xfId="0" applyFont="1" applyAlignment="1">
      <alignment horizontal="left" indent="1"/>
    </xf>
    <xf numFmtId="0" fontId="4" fillId="0" borderId="0" xfId="0" applyFont="1" applyFill="1" applyBorder="1" applyAlignment="1">
      <alignment horizontal="left" vertical="center" indent="1"/>
    </xf>
    <xf numFmtId="164" fontId="4" fillId="0" borderId="0" xfId="0" applyNumberFormat="1" applyFont="1" applyFill="1" applyBorder="1" applyAlignment="1">
      <alignment horizontal="left" indent="1"/>
    </xf>
    <xf numFmtId="0" fontId="4" fillId="0" borderId="0" xfId="0" applyFont="1" applyBorder="1" applyAlignment="1">
      <alignment horizontal="left" vertical="center" indent="1"/>
    </xf>
    <xf numFmtId="0" fontId="4" fillId="0" borderId="0" xfId="0" applyFont="1" applyBorder="1" applyAlignment="1">
      <alignment horizontal="left" indent="1"/>
    </xf>
    <xf numFmtId="164" fontId="2" fillId="0" borderId="0" xfId="0" applyNumberFormat="1" applyFont="1" applyFill="1" applyBorder="1" applyAlignment="1">
      <alignment horizontal="left" indent="1"/>
    </xf>
    <xf numFmtId="0" fontId="2" fillId="0" borderId="0" xfId="0" applyFont="1" applyFill="1" applyBorder="1" applyAlignment="1">
      <alignment horizontal="left" indent="1"/>
    </xf>
    <xf numFmtId="6" fontId="7" fillId="2" borderId="12" xfId="0" applyNumberFormat="1" applyFont="1" applyFill="1" applyBorder="1" applyAlignment="1">
      <alignment horizontal="center"/>
    </xf>
    <xf numFmtId="9" fontId="1" fillId="5" borderId="22" xfId="0" applyNumberFormat="1" applyFont="1" applyFill="1" applyBorder="1" applyAlignment="1">
      <alignment horizontal="center" wrapText="1"/>
    </xf>
    <xf numFmtId="9" fontId="1" fillId="5" borderId="23" xfId="0" applyNumberFormat="1" applyFont="1" applyFill="1" applyBorder="1" applyAlignment="1">
      <alignment horizontal="center" wrapText="1"/>
    </xf>
    <xf numFmtId="9" fontId="1" fillId="2" borderId="30" xfId="0" applyNumberFormat="1" applyFont="1" applyFill="1" applyBorder="1" applyAlignment="1">
      <alignment horizontal="center" wrapText="1"/>
    </xf>
    <xf numFmtId="9" fontId="1" fillId="2" borderId="31" xfId="0" applyNumberFormat="1" applyFont="1" applyFill="1" applyBorder="1" applyAlignment="1">
      <alignment horizontal="center" wrapText="1"/>
    </xf>
    <xf numFmtId="6" fontId="1" fillId="5" borderId="22" xfId="0" applyNumberFormat="1" applyFont="1" applyFill="1" applyBorder="1" applyAlignment="1">
      <alignment horizontal="center" wrapText="1"/>
    </xf>
    <xf numFmtId="6" fontId="1" fillId="5" borderId="23" xfId="0" applyNumberFormat="1" applyFont="1" applyFill="1" applyBorder="1" applyAlignment="1">
      <alignment horizontal="center" wrapText="1"/>
    </xf>
    <xf numFmtId="6" fontId="1" fillId="2" borderId="22" xfId="0" applyNumberFormat="1" applyFont="1" applyFill="1" applyBorder="1" applyAlignment="1">
      <alignment horizontal="center" wrapText="1"/>
    </xf>
    <xf numFmtId="6" fontId="1" fillId="2" borderId="23" xfId="0" applyNumberFormat="1" applyFont="1" applyFill="1" applyBorder="1" applyAlignment="1">
      <alignment horizontal="center" wrapText="1"/>
    </xf>
    <xf numFmtId="6" fontId="1" fillId="0" borderId="17" xfId="0" applyNumberFormat="1" applyFont="1" applyFill="1" applyBorder="1" applyAlignment="1">
      <alignment horizontal="center" wrapText="1"/>
    </xf>
    <xf numFmtId="6" fontId="1" fillId="0" borderId="19" xfId="0" applyNumberFormat="1" applyFont="1" applyFill="1" applyBorder="1" applyAlignment="1">
      <alignment horizontal="center" wrapText="1"/>
    </xf>
    <xf numFmtId="9" fontId="1" fillId="5" borderId="30" xfId="0" applyNumberFormat="1" applyFont="1" applyFill="1" applyBorder="1" applyAlignment="1">
      <alignment horizontal="center" wrapText="1"/>
    </xf>
    <xf numFmtId="9" fontId="1" fillId="5" borderId="31" xfId="0" applyNumberFormat="1" applyFont="1" applyFill="1" applyBorder="1" applyAlignment="1">
      <alignment horizontal="center" wrapText="1"/>
    </xf>
    <xf numFmtId="6" fontId="1" fillId="5" borderId="17" xfId="0" applyNumberFormat="1" applyFont="1" applyFill="1" applyBorder="1" applyAlignment="1">
      <alignment horizontal="center" wrapText="1"/>
    </xf>
    <xf numFmtId="9" fontId="4" fillId="5" borderId="28" xfId="0" applyNumberFormat="1" applyFont="1" applyFill="1" applyBorder="1" applyAlignment="1">
      <alignment horizontal="center"/>
    </xf>
    <xf numFmtId="9" fontId="4" fillId="2" borderId="28" xfId="0" applyNumberFormat="1" applyFont="1" applyFill="1" applyBorder="1" applyAlignment="1">
      <alignment horizontal="center"/>
    </xf>
    <xf numFmtId="6" fontId="1" fillId="2" borderId="44" xfId="0" applyNumberFormat="1" applyFont="1" applyFill="1" applyBorder="1" applyAlignment="1">
      <alignment horizontal="center" wrapText="1"/>
    </xf>
    <xf numFmtId="6" fontId="1" fillId="2" borderId="43" xfId="0" applyNumberFormat="1" applyFont="1" applyFill="1" applyBorder="1" applyAlignment="1">
      <alignment horizontal="center" wrapText="1"/>
    </xf>
    <xf numFmtId="6" fontId="1" fillId="0" borderId="4" xfId="0" applyNumberFormat="1" applyFont="1" applyFill="1" applyBorder="1" applyAlignment="1">
      <alignment horizontal="center" wrapText="1"/>
    </xf>
    <xf numFmtId="6" fontId="1" fillId="0" borderId="5" xfId="0" applyNumberFormat="1" applyFont="1" applyFill="1" applyBorder="1" applyAlignment="1">
      <alignment horizontal="center" wrapText="1"/>
    </xf>
    <xf numFmtId="0" fontId="4" fillId="0" borderId="0" xfId="0" quotePrefix="1" applyFont="1" applyFill="1" applyBorder="1" applyAlignment="1"/>
    <xf numFmtId="0" fontId="3" fillId="5" borderId="12" xfId="0" applyFont="1" applyFill="1" applyBorder="1" applyAlignment="1">
      <alignment horizontal="right" wrapText="1" indent="1"/>
    </xf>
    <xf numFmtId="0" fontId="3" fillId="0" borderId="4" xfId="0" applyFont="1" applyFill="1" applyBorder="1" applyAlignment="1">
      <alignment horizontal="right" wrapText="1" indent="1"/>
    </xf>
    <xf numFmtId="164" fontId="1" fillId="2" borderId="15" xfId="0" applyNumberFormat="1" applyFont="1" applyFill="1" applyBorder="1" applyAlignment="1">
      <alignment horizontal="right" wrapText="1" indent="1"/>
    </xf>
    <xf numFmtId="165" fontId="1" fillId="5" borderId="20" xfId="0" applyNumberFormat="1" applyFont="1" applyFill="1" applyBorder="1" applyAlignment="1">
      <alignment horizontal="right" wrapText="1" indent="1"/>
    </xf>
    <xf numFmtId="166" fontId="1" fillId="2" borderId="24" xfId="0" applyNumberFormat="1" applyFont="1" applyFill="1" applyBorder="1" applyAlignment="1">
      <alignment horizontal="right" wrapText="1" indent="1"/>
    </xf>
    <xf numFmtId="164" fontId="2" fillId="2" borderId="28" xfId="0" applyNumberFormat="1" applyFont="1" applyFill="1" applyBorder="1" applyAlignment="1">
      <alignment horizontal="right" wrapText="1" indent="1"/>
    </xf>
    <xf numFmtId="164" fontId="1" fillId="2" borderId="28" xfId="0" applyNumberFormat="1" applyFont="1" applyFill="1" applyBorder="1" applyAlignment="1">
      <alignment horizontal="right" wrapText="1" indent="1"/>
    </xf>
    <xf numFmtId="164" fontId="1" fillId="0" borderId="0" xfId="0" applyNumberFormat="1" applyFont="1" applyFill="1" applyBorder="1" applyAlignment="1">
      <alignment horizontal="right" wrapText="1" indent="1"/>
    </xf>
    <xf numFmtId="165" fontId="1" fillId="2" borderId="15" xfId="0" applyNumberFormat="1" applyFont="1" applyFill="1" applyBorder="1" applyAlignment="1">
      <alignment horizontal="right" wrapText="1" indent="1"/>
    </xf>
    <xf numFmtId="165" fontId="2" fillId="2" borderId="15" xfId="0" applyNumberFormat="1" applyFont="1" applyFill="1" applyBorder="1" applyAlignment="1">
      <alignment horizontal="right" wrapText="1" indent="1"/>
    </xf>
    <xf numFmtId="0" fontId="2" fillId="2" borderId="15" xfId="0" applyFont="1" applyFill="1" applyBorder="1" applyAlignment="1">
      <alignment horizontal="right" wrapText="1" indent="1"/>
    </xf>
    <xf numFmtId="0" fontId="2" fillId="2" borderId="20" xfId="0" applyFont="1" applyFill="1" applyBorder="1" applyAlignment="1">
      <alignment horizontal="right" wrapText="1" indent="1"/>
    </xf>
    <xf numFmtId="0" fontId="2" fillId="2" borderId="28" xfId="0" applyFont="1" applyFill="1" applyBorder="1" applyAlignment="1">
      <alignment horizontal="right" wrapText="1" indent="1"/>
    </xf>
    <xf numFmtId="0" fontId="1" fillId="2" borderId="12" xfId="0" applyFont="1" applyFill="1" applyBorder="1" applyAlignment="1">
      <alignment horizontal="right" indent="1"/>
    </xf>
    <xf numFmtId="8" fontId="7" fillId="5" borderId="12" xfId="0" applyNumberFormat="1" applyFont="1" applyFill="1" applyBorder="1" applyAlignment="1">
      <alignment horizontal="right" wrapText="1" indent="1"/>
    </xf>
    <xf numFmtId="0" fontId="3" fillId="5" borderId="12" xfId="0" applyFont="1" applyFill="1" applyBorder="1" applyAlignment="1">
      <alignment horizontal="right" vertical="center" wrapText="1" indent="1"/>
    </xf>
    <xf numFmtId="165" fontId="4" fillId="2" borderId="15" xfId="0" applyNumberFormat="1" applyFont="1" applyFill="1" applyBorder="1" applyAlignment="1">
      <alignment horizontal="right" wrapText="1" indent="1"/>
    </xf>
    <xf numFmtId="166" fontId="1" fillId="2" borderId="28" xfId="0" applyNumberFormat="1" applyFont="1" applyFill="1" applyBorder="1" applyAlignment="1">
      <alignment horizontal="right" wrapText="1" indent="1"/>
    </xf>
    <xf numFmtId="9" fontId="1" fillId="6" borderId="40" xfId="0" applyNumberFormat="1" applyFont="1" applyFill="1" applyBorder="1" applyAlignment="1">
      <alignment horizontal="center" wrapText="1"/>
    </xf>
    <xf numFmtId="9" fontId="1" fillId="6" borderId="41" xfId="0" applyNumberFormat="1" applyFont="1" applyFill="1" applyBorder="1" applyAlignment="1">
      <alignment horizontal="center" wrapText="1"/>
    </xf>
    <xf numFmtId="0" fontId="7" fillId="5" borderId="12" xfId="0" applyFont="1" applyFill="1" applyBorder="1" applyAlignment="1">
      <alignment horizontal="right" vertical="center" wrapText="1" indent="1"/>
    </xf>
    <xf numFmtId="164" fontId="4" fillId="0" borderId="0" xfId="0" applyNumberFormat="1" applyFont="1" applyFill="1" applyBorder="1" applyAlignment="1">
      <alignment horizontal="right" indent="1"/>
    </xf>
    <xf numFmtId="164" fontId="4" fillId="2" borderId="12" xfId="0" applyNumberFormat="1" applyFont="1" applyFill="1" applyBorder="1" applyAlignment="1">
      <alignment horizontal="right" indent="1"/>
    </xf>
    <xf numFmtId="165" fontId="7" fillId="2" borderId="12" xfId="0" applyNumberFormat="1" applyFont="1" applyFill="1" applyBorder="1" applyAlignment="1">
      <alignment horizontal="right" indent="1"/>
    </xf>
    <xf numFmtId="0" fontId="3" fillId="2" borderId="12" xfId="0" applyFont="1" applyFill="1" applyBorder="1" applyAlignment="1">
      <alignment horizontal="right" wrapText="1" indent="1"/>
    </xf>
    <xf numFmtId="164" fontId="1" fillId="2" borderId="12" xfId="0" applyNumberFormat="1" applyFont="1" applyFill="1" applyBorder="1" applyAlignment="1">
      <alignment horizontal="right" wrapText="1" indent="1"/>
    </xf>
    <xf numFmtId="165" fontId="1" fillId="0" borderId="0" xfId="0" applyNumberFormat="1" applyFont="1" applyFill="1" applyBorder="1" applyAlignment="1">
      <alignment horizontal="right" wrapText="1" indent="1"/>
    </xf>
    <xf numFmtId="0" fontId="3" fillId="5" borderId="13" xfId="0" applyFont="1" applyFill="1" applyBorder="1" applyAlignment="1">
      <alignment horizontal="right" vertical="center" wrapText="1" indent="1"/>
    </xf>
    <xf numFmtId="0" fontId="3" fillId="5" borderId="14" xfId="0" applyFont="1" applyFill="1" applyBorder="1" applyAlignment="1">
      <alignment horizontal="right" vertical="center" wrapText="1" indent="1"/>
    </xf>
    <xf numFmtId="165" fontId="1" fillId="0" borderId="16" xfId="0" applyNumberFormat="1" applyFont="1" applyFill="1" applyBorder="1" applyAlignment="1">
      <alignment horizontal="center" wrapText="1"/>
    </xf>
    <xf numFmtId="0" fontId="1" fillId="0" borderId="17" xfId="0" applyFont="1" applyFill="1" applyBorder="1" applyAlignment="1">
      <alignment horizontal="center" wrapText="1"/>
    </xf>
    <xf numFmtId="0" fontId="1" fillId="0" borderId="19" xfId="0" applyFont="1" applyFill="1" applyBorder="1" applyAlignment="1">
      <alignment horizontal="center" wrapText="1"/>
    </xf>
    <xf numFmtId="9" fontId="1" fillId="5" borderId="21" xfId="0" applyNumberFormat="1" applyFont="1" applyFill="1" applyBorder="1" applyAlignment="1">
      <alignment horizontal="center" wrapText="1"/>
    </xf>
    <xf numFmtId="9" fontId="1" fillId="5" borderId="22" xfId="0" applyNumberFormat="1" applyFont="1" applyFill="1" applyBorder="1" applyAlignment="1">
      <alignment horizontal="center" wrapText="1"/>
    </xf>
    <xf numFmtId="9" fontId="1" fillId="5" borderId="23" xfId="0" applyNumberFormat="1" applyFont="1" applyFill="1" applyBorder="1" applyAlignment="1">
      <alignment horizontal="center" wrapText="1"/>
    </xf>
    <xf numFmtId="9" fontId="4" fillId="5" borderId="21" xfId="0" applyNumberFormat="1" applyFont="1" applyFill="1" applyBorder="1" applyAlignment="1">
      <alignment horizontal="center" wrapText="1"/>
    </xf>
    <xf numFmtId="9" fontId="4" fillId="5" borderId="22" xfId="0" applyNumberFormat="1" applyFont="1" applyFill="1" applyBorder="1" applyAlignment="1">
      <alignment horizontal="center" wrapText="1"/>
    </xf>
    <xf numFmtId="9" fontId="4" fillId="5" borderId="23" xfId="0" applyNumberFormat="1" applyFont="1" applyFill="1" applyBorder="1" applyAlignment="1">
      <alignment horizontal="center" wrapText="1"/>
    </xf>
    <xf numFmtId="9" fontId="1" fillId="2" borderId="29" xfId="0" applyNumberFormat="1" applyFont="1" applyFill="1" applyBorder="1" applyAlignment="1">
      <alignment horizontal="center" wrapText="1"/>
    </xf>
    <xf numFmtId="9" fontId="1" fillId="2" borderId="30" xfId="0" applyNumberFormat="1" applyFont="1" applyFill="1" applyBorder="1" applyAlignment="1">
      <alignment horizontal="center" wrapText="1"/>
    </xf>
    <xf numFmtId="9" fontId="1" fillId="2" borderId="31" xfId="0" applyNumberFormat="1" applyFont="1" applyFill="1" applyBorder="1" applyAlignment="1">
      <alignment horizontal="center" wrapText="1"/>
    </xf>
    <xf numFmtId="9" fontId="4" fillId="2" borderId="29" xfId="0" applyNumberFormat="1" applyFont="1" applyFill="1" applyBorder="1" applyAlignment="1">
      <alignment horizontal="center" wrapText="1"/>
    </xf>
    <xf numFmtId="9" fontId="4" fillId="2" borderId="30" xfId="0" applyNumberFormat="1" applyFont="1" applyFill="1" applyBorder="1" applyAlignment="1">
      <alignment horizontal="center" wrapText="1"/>
    </xf>
    <xf numFmtId="9" fontId="4" fillId="2" borderId="31" xfId="0" applyNumberFormat="1" applyFont="1" applyFill="1" applyBorder="1" applyAlignment="1">
      <alignment horizontal="center" wrapText="1"/>
    </xf>
    <xf numFmtId="165" fontId="1" fillId="0" borderId="32" xfId="0" applyNumberFormat="1" applyFont="1" applyFill="1" applyBorder="1" applyAlignment="1">
      <alignment horizontal="center" wrapText="1"/>
    </xf>
    <xf numFmtId="0" fontId="1" fillId="0" borderId="33" xfId="0" applyFont="1" applyFill="1" applyBorder="1" applyAlignment="1">
      <alignment horizontal="center" wrapText="1"/>
    </xf>
    <xf numFmtId="165" fontId="1" fillId="5" borderId="21" xfId="0" applyNumberFormat="1" applyFont="1" applyFill="1" applyBorder="1" applyAlignment="1">
      <alignment horizontal="center" wrapText="1"/>
    </xf>
    <xf numFmtId="0" fontId="1" fillId="5" borderId="23" xfId="0" applyFont="1" applyFill="1" applyBorder="1" applyAlignment="1">
      <alignment horizontal="center" wrapText="1"/>
    </xf>
    <xf numFmtId="165" fontId="1" fillId="5" borderId="24" xfId="0" applyNumberFormat="1" applyFont="1" applyFill="1" applyBorder="1" applyAlignment="1">
      <alignment horizontal="right" vertical="center" wrapText="1" indent="1"/>
    </xf>
    <xf numFmtId="0" fontId="1" fillId="5" borderId="59" xfId="0" applyFont="1" applyFill="1" applyBorder="1" applyAlignment="1">
      <alignment horizontal="right" vertical="center" wrapText="1" indent="1"/>
    </xf>
    <xf numFmtId="165" fontId="1" fillId="2" borderId="24" xfId="0" applyNumberFormat="1" applyFont="1" applyFill="1" applyBorder="1" applyAlignment="1">
      <alignment horizontal="right" vertical="center" wrapText="1" indent="1"/>
    </xf>
    <xf numFmtId="0" fontId="1" fillId="2" borderId="14" xfId="0" applyFont="1" applyFill="1" applyBorder="1" applyAlignment="1">
      <alignment horizontal="right" vertical="center" wrapText="1" indent="1"/>
    </xf>
    <xf numFmtId="165" fontId="2" fillId="5" borderId="24" xfId="0" applyNumberFormat="1" applyFont="1" applyFill="1" applyBorder="1" applyAlignment="1">
      <alignment horizontal="right" vertical="center" wrapText="1" indent="1"/>
    </xf>
    <xf numFmtId="0" fontId="2" fillId="5" borderId="59" xfId="0" applyFont="1" applyFill="1" applyBorder="1" applyAlignment="1">
      <alignment horizontal="right" vertical="center" wrapText="1" indent="1"/>
    </xf>
    <xf numFmtId="165" fontId="2" fillId="2" borderId="24" xfId="0" applyNumberFormat="1" applyFont="1" applyFill="1" applyBorder="1" applyAlignment="1">
      <alignment horizontal="right" vertical="center" wrapText="1" indent="1"/>
    </xf>
    <xf numFmtId="0" fontId="2" fillId="2" borderId="14" xfId="0" applyFont="1" applyFill="1" applyBorder="1" applyAlignment="1">
      <alignment horizontal="right" vertical="center" wrapText="1" indent="1"/>
    </xf>
    <xf numFmtId="165" fontId="1" fillId="2" borderId="21" xfId="0" applyNumberFormat="1" applyFont="1" applyFill="1" applyBorder="1" applyAlignment="1">
      <alignment horizontal="center" wrapText="1"/>
    </xf>
    <xf numFmtId="0" fontId="1" fillId="2" borderId="23" xfId="0" applyFont="1" applyFill="1" applyBorder="1" applyAlignment="1">
      <alignment horizontal="center" wrapText="1"/>
    </xf>
    <xf numFmtId="9" fontId="1" fillId="0" borderId="21" xfId="0" applyNumberFormat="1" applyFont="1" applyFill="1" applyBorder="1" applyAlignment="1">
      <alignment horizontal="center" wrapText="1"/>
    </xf>
    <xf numFmtId="9" fontId="1" fillId="0" borderId="22" xfId="0" applyNumberFormat="1" applyFont="1" applyFill="1" applyBorder="1" applyAlignment="1">
      <alignment horizontal="center" wrapText="1"/>
    </xf>
    <xf numFmtId="9" fontId="1" fillId="0" borderId="23" xfId="0" applyNumberFormat="1" applyFont="1" applyFill="1" applyBorder="1" applyAlignment="1">
      <alignment horizontal="center" wrapText="1"/>
    </xf>
    <xf numFmtId="9" fontId="1" fillId="0" borderId="29" xfId="0" applyNumberFormat="1" applyFont="1" applyFill="1" applyBorder="1" applyAlignment="1">
      <alignment horizontal="center" wrapText="1"/>
    </xf>
    <xf numFmtId="9" fontId="1" fillId="0" borderId="30" xfId="0" applyNumberFormat="1" applyFont="1" applyFill="1" applyBorder="1" applyAlignment="1">
      <alignment horizontal="center" wrapText="1"/>
    </xf>
    <xf numFmtId="9" fontId="1" fillId="0" borderId="31" xfId="0" applyNumberFormat="1" applyFont="1" applyFill="1" applyBorder="1" applyAlignment="1">
      <alignment horizontal="center" wrapText="1"/>
    </xf>
    <xf numFmtId="0" fontId="1" fillId="4" borderId="3" xfId="0" applyFont="1" applyFill="1" applyBorder="1" applyAlignment="1">
      <alignment horizontal="center"/>
    </xf>
    <xf numFmtId="0" fontId="1" fillId="4" borderId="4" xfId="0" applyFont="1" applyFill="1" applyBorder="1" applyAlignment="1">
      <alignment horizontal="center"/>
    </xf>
    <xf numFmtId="0" fontId="1" fillId="4" borderId="5" xfId="0" applyFont="1" applyFill="1" applyBorder="1" applyAlignment="1">
      <alignment horizontal="center"/>
    </xf>
    <xf numFmtId="0" fontId="1" fillId="5" borderId="22" xfId="0" applyFont="1" applyFill="1" applyBorder="1" applyAlignment="1">
      <alignment horizontal="center" wrapText="1"/>
    </xf>
    <xf numFmtId="0" fontId="1" fillId="2" borderId="22" xfId="0" applyFont="1" applyFill="1" applyBorder="1" applyAlignment="1">
      <alignment horizontal="center" wrapText="1"/>
    </xf>
    <xf numFmtId="165" fontId="1" fillId="4" borderId="42" xfId="0" applyNumberFormat="1" applyFont="1" applyFill="1" applyBorder="1" applyAlignment="1">
      <alignment horizontal="center" wrapText="1"/>
    </xf>
    <xf numFmtId="0" fontId="1" fillId="4" borderId="44" xfId="0" applyFont="1" applyFill="1" applyBorder="1" applyAlignment="1">
      <alignment horizontal="center" wrapText="1"/>
    </xf>
    <xf numFmtId="0" fontId="1" fillId="4" borderId="43" xfId="0" applyFont="1" applyFill="1" applyBorder="1" applyAlignment="1">
      <alignment horizontal="center" wrapText="1"/>
    </xf>
    <xf numFmtId="169" fontId="2" fillId="5" borderId="2" xfId="0" applyNumberFormat="1" applyFont="1" applyFill="1" applyBorder="1" applyAlignment="1">
      <alignment horizontal="center" wrapText="1"/>
    </xf>
    <xf numFmtId="169" fontId="2" fillId="5" borderId="0" xfId="0" applyNumberFormat="1" applyFont="1" applyFill="1" applyBorder="1" applyAlignment="1">
      <alignment horizontal="center" wrapText="1"/>
    </xf>
    <xf numFmtId="169" fontId="2" fillId="5" borderId="1" xfId="0" applyNumberFormat="1" applyFont="1" applyFill="1" applyBorder="1" applyAlignment="1">
      <alignment horizontal="center" wrapText="1"/>
    </xf>
    <xf numFmtId="8" fontId="1" fillId="0" borderId="6" xfId="0" applyNumberFormat="1" applyFont="1" applyBorder="1" applyAlignment="1">
      <alignment horizontal="center" vertical="center" wrapText="1"/>
    </xf>
    <xf numFmtId="8" fontId="1" fillId="0" borderId="7" xfId="0" applyNumberFormat="1" applyFont="1" applyBorder="1" applyAlignment="1">
      <alignment horizontal="center" vertical="center" wrapText="1"/>
    </xf>
    <xf numFmtId="8" fontId="1" fillId="0" borderId="8" xfId="0" applyNumberFormat="1" applyFont="1" applyBorder="1" applyAlignment="1">
      <alignment horizontal="center" vertical="center" wrapText="1"/>
    </xf>
    <xf numFmtId="8" fontId="1" fillId="0" borderId="42" xfId="0" applyNumberFormat="1" applyFont="1" applyBorder="1" applyAlignment="1">
      <alignment horizontal="center" vertical="center" wrapText="1"/>
    </xf>
    <xf numFmtId="8" fontId="1" fillId="0" borderId="44" xfId="0" applyNumberFormat="1" applyFont="1" applyBorder="1" applyAlignment="1">
      <alignment horizontal="center" vertical="center" wrapText="1"/>
    </xf>
    <xf numFmtId="8" fontId="1" fillId="0" borderId="43" xfId="0" applyNumberFormat="1" applyFont="1" applyBorder="1" applyAlignment="1">
      <alignment horizontal="center" vertical="center" wrapText="1"/>
    </xf>
    <xf numFmtId="8" fontId="1" fillId="0" borderId="29" xfId="0" applyNumberFormat="1" applyFont="1" applyBorder="1" applyAlignment="1">
      <alignment horizontal="center" wrapText="1"/>
    </xf>
    <xf numFmtId="8" fontId="1" fillId="0" borderId="30" xfId="0" applyNumberFormat="1" applyFont="1" applyBorder="1" applyAlignment="1">
      <alignment horizontal="center" wrapText="1"/>
    </xf>
    <xf numFmtId="8" fontId="1" fillId="0" borderId="31" xfId="0" applyNumberFormat="1" applyFont="1" applyBorder="1" applyAlignment="1">
      <alignment horizontal="center" wrapText="1"/>
    </xf>
    <xf numFmtId="10" fontId="2" fillId="2" borderId="3" xfId="0" applyNumberFormat="1" applyFont="1" applyFill="1" applyBorder="1" applyAlignment="1">
      <alignment horizontal="center"/>
    </xf>
    <xf numFmtId="0" fontId="2" fillId="2" borderId="4" xfId="0" applyFont="1" applyFill="1" applyBorder="1" applyAlignment="1">
      <alignment horizontal="center"/>
    </xf>
    <xf numFmtId="0" fontId="2" fillId="2" borderId="5" xfId="0" applyFont="1" applyFill="1" applyBorder="1" applyAlignment="1">
      <alignment horizontal="center"/>
    </xf>
    <xf numFmtId="10" fontId="1" fillId="0" borderId="3" xfId="0" applyNumberFormat="1" applyFont="1" applyFill="1" applyBorder="1" applyAlignment="1">
      <alignment horizontal="center"/>
    </xf>
    <xf numFmtId="0" fontId="1" fillId="0" borderId="4" xfId="0" applyFont="1" applyFill="1" applyBorder="1" applyAlignment="1">
      <alignment horizontal="center"/>
    </xf>
    <xf numFmtId="0" fontId="1" fillId="0" borderId="5" xfId="0" applyFont="1" applyFill="1" applyBorder="1" applyAlignment="1">
      <alignment horizontal="center"/>
    </xf>
    <xf numFmtId="0" fontId="1" fillId="0" borderId="17" xfId="0" applyFont="1" applyBorder="1" applyAlignment="1">
      <alignment horizontal="center" wrapText="1"/>
    </xf>
    <xf numFmtId="0" fontId="1" fillId="0" borderId="19" xfId="0" applyFont="1" applyBorder="1" applyAlignment="1">
      <alignment horizontal="center" wrapText="1"/>
    </xf>
    <xf numFmtId="169" fontId="1" fillId="0" borderId="16" xfId="0" applyNumberFormat="1" applyFont="1" applyFill="1" applyBorder="1" applyAlignment="1">
      <alignment horizontal="center" wrapText="1"/>
    </xf>
    <xf numFmtId="169" fontId="1" fillId="0" borderId="17" xfId="0" applyNumberFormat="1" applyFont="1" applyFill="1" applyBorder="1" applyAlignment="1">
      <alignment horizontal="center" wrapText="1"/>
    </xf>
    <xf numFmtId="169" fontId="1" fillId="0" borderId="17" xfId="0" applyNumberFormat="1" applyFont="1" applyBorder="1" applyAlignment="1">
      <alignment horizontal="center" wrapText="1"/>
    </xf>
    <xf numFmtId="169" fontId="1" fillId="0" borderId="19" xfId="0" applyNumberFormat="1" applyFont="1" applyBorder="1" applyAlignment="1">
      <alignment horizontal="center" wrapText="1"/>
    </xf>
    <xf numFmtId="169" fontId="4" fillId="5" borderId="21" xfId="0" applyNumberFormat="1" applyFont="1" applyFill="1" applyBorder="1" applyAlignment="1">
      <alignment horizontal="center" wrapText="1"/>
    </xf>
    <xf numFmtId="169" fontId="4" fillId="5" borderId="22" xfId="0" applyNumberFormat="1" applyFont="1" applyFill="1" applyBorder="1" applyAlignment="1">
      <alignment horizontal="center" wrapText="1"/>
    </xf>
    <xf numFmtId="169" fontId="4" fillId="5" borderId="23" xfId="0" applyNumberFormat="1" applyFont="1" applyFill="1" applyBorder="1" applyAlignment="1">
      <alignment horizontal="center" wrapText="1"/>
    </xf>
    <xf numFmtId="169" fontId="4" fillId="2" borderId="29" xfId="0" applyNumberFormat="1" applyFont="1" applyFill="1" applyBorder="1" applyAlignment="1">
      <alignment horizontal="center" wrapText="1"/>
    </xf>
    <xf numFmtId="169" fontId="4" fillId="2" borderId="30" xfId="0" applyNumberFormat="1" applyFont="1" applyFill="1" applyBorder="1" applyAlignment="1">
      <alignment horizontal="center" wrapText="1"/>
    </xf>
    <xf numFmtId="169" fontId="4" fillId="2" borderId="31" xfId="0" applyNumberFormat="1" applyFont="1" applyFill="1" applyBorder="1" applyAlignment="1">
      <alignment horizontal="center" wrapText="1"/>
    </xf>
    <xf numFmtId="9" fontId="1" fillId="0" borderId="16" xfId="0" applyNumberFormat="1" applyFont="1" applyFill="1" applyBorder="1" applyAlignment="1">
      <alignment horizontal="center" wrapText="1"/>
    </xf>
    <xf numFmtId="9" fontId="1" fillId="0" borderId="17" xfId="0" applyNumberFormat="1" applyFont="1" applyFill="1" applyBorder="1" applyAlignment="1">
      <alignment horizontal="center" wrapText="1"/>
    </xf>
    <xf numFmtId="9" fontId="1" fillId="0" borderId="19" xfId="0" applyNumberFormat="1" applyFont="1" applyFill="1" applyBorder="1" applyAlignment="1">
      <alignment horizontal="center" wrapText="1"/>
    </xf>
    <xf numFmtId="9" fontId="1" fillId="2" borderId="21" xfId="0" applyNumberFormat="1" applyFont="1" applyFill="1" applyBorder="1" applyAlignment="1">
      <alignment horizontal="center" wrapText="1"/>
    </xf>
    <xf numFmtId="9" fontId="1" fillId="2" borderId="22" xfId="0" applyNumberFormat="1" applyFont="1" applyFill="1" applyBorder="1" applyAlignment="1">
      <alignment horizontal="center" wrapText="1"/>
    </xf>
    <xf numFmtId="9" fontId="1" fillId="2" borderId="23" xfId="0" applyNumberFormat="1" applyFont="1" applyFill="1" applyBorder="1" applyAlignment="1">
      <alignment horizontal="center" wrapText="1"/>
    </xf>
    <xf numFmtId="1" fontId="3" fillId="5" borderId="3" xfId="0" applyNumberFormat="1" applyFont="1" applyFill="1" applyBorder="1" applyAlignment="1">
      <alignment horizontal="center" wrapText="1"/>
    </xf>
    <xf numFmtId="1" fontId="3" fillId="5" borderId="4" xfId="0" applyNumberFormat="1" applyFont="1" applyFill="1" applyBorder="1" applyAlignment="1">
      <alignment horizontal="center" wrapText="1"/>
    </xf>
    <xf numFmtId="1" fontId="3" fillId="5" borderId="5" xfId="0" applyNumberFormat="1" applyFont="1" applyFill="1" applyBorder="1" applyAlignment="1">
      <alignment horizontal="center" wrapText="1"/>
    </xf>
    <xf numFmtId="164" fontId="1" fillId="5" borderId="32" xfId="0" applyNumberFormat="1" applyFont="1" applyFill="1" applyBorder="1" applyAlignment="1">
      <alignment horizontal="center" wrapText="1"/>
    </xf>
    <xf numFmtId="0" fontId="1" fillId="5" borderId="33" xfId="0" applyFont="1" applyFill="1" applyBorder="1" applyAlignment="1">
      <alignment horizontal="center" wrapText="1"/>
    </xf>
    <xf numFmtId="164" fontId="1" fillId="5" borderId="18" xfId="0" applyNumberFormat="1" applyFont="1" applyFill="1" applyBorder="1" applyAlignment="1">
      <alignment horizontal="center" wrapText="1"/>
    </xf>
    <xf numFmtId="164" fontId="1" fillId="5" borderId="3" xfId="0" applyNumberFormat="1" applyFont="1" applyFill="1" applyBorder="1" applyAlignment="1">
      <alignment horizontal="center" wrapText="1"/>
    </xf>
    <xf numFmtId="0" fontId="1" fillId="5" borderId="4" xfId="0" applyFont="1" applyFill="1" applyBorder="1" applyAlignment="1">
      <alignment horizontal="center" wrapText="1"/>
    </xf>
    <xf numFmtId="0" fontId="1" fillId="5" borderId="5" xfId="0" applyFont="1" applyFill="1" applyBorder="1" applyAlignment="1">
      <alignment horizontal="center" wrapText="1"/>
    </xf>
    <xf numFmtId="164" fontId="1" fillId="5" borderId="4" xfId="0" applyNumberFormat="1" applyFont="1" applyFill="1" applyBorder="1" applyAlignment="1">
      <alignment horizontal="center" wrapText="1"/>
    </xf>
    <xf numFmtId="8" fontId="1" fillId="0" borderId="16" xfId="0" applyNumberFormat="1" applyFont="1" applyBorder="1" applyAlignment="1">
      <alignment horizontal="center" wrapText="1"/>
    </xf>
    <xf numFmtId="8" fontId="1" fillId="0" borderId="17" xfId="0" applyNumberFormat="1" applyFont="1" applyBorder="1" applyAlignment="1">
      <alignment horizontal="center" wrapText="1"/>
    </xf>
    <xf numFmtId="8" fontId="1" fillId="0" borderId="19" xfId="0" applyNumberFormat="1" applyFont="1" applyBorder="1" applyAlignment="1">
      <alignment horizontal="center" wrapText="1"/>
    </xf>
    <xf numFmtId="8" fontId="1" fillId="2" borderId="25" xfId="0" applyNumberFormat="1" applyFont="1" applyFill="1" applyBorder="1" applyAlignment="1">
      <alignment horizontal="center" wrapText="1"/>
    </xf>
    <xf numFmtId="8" fontId="1" fillId="2" borderId="26" xfId="0" applyNumberFormat="1" applyFont="1" applyFill="1" applyBorder="1" applyAlignment="1">
      <alignment horizontal="center" wrapText="1"/>
    </xf>
    <xf numFmtId="8" fontId="1" fillId="2" borderId="27" xfId="0" applyNumberFormat="1" applyFont="1" applyFill="1" applyBorder="1" applyAlignment="1">
      <alignment horizontal="center" wrapText="1"/>
    </xf>
    <xf numFmtId="165" fontId="1" fillId="5" borderId="42" xfId="0" applyNumberFormat="1" applyFont="1" applyFill="1" applyBorder="1" applyAlignment="1">
      <alignment horizontal="center" wrapText="1"/>
    </xf>
    <xf numFmtId="0" fontId="1" fillId="5" borderId="44" xfId="0" applyFont="1" applyFill="1" applyBorder="1" applyAlignment="1">
      <alignment horizontal="center" wrapText="1"/>
    </xf>
    <xf numFmtId="0" fontId="1" fillId="5" borderId="43" xfId="0" applyFont="1" applyFill="1" applyBorder="1" applyAlignment="1">
      <alignment horizontal="center" wrapText="1"/>
    </xf>
    <xf numFmtId="8" fontId="1" fillId="0" borderId="29" xfId="0" applyNumberFormat="1" applyFont="1" applyFill="1" applyBorder="1" applyAlignment="1">
      <alignment horizontal="center" wrapText="1"/>
    </xf>
    <xf numFmtId="8" fontId="1" fillId="0" borderId="30" xfId="0" applyNumberFormat="1" applyFont="1" applyFill="1" applyBorder="1" applyAlignment="1">
      <alignment horizontal="center" wrapText="1"/>
    </xf>
    <xf numFmtId="8" fontId="1" fillId="0" borderId="31" xfId="0" applyNumberFormat="1" applyFont="1" applyFill="1" applyBorder="1" applyAlignment="1">
      <alignment horizontal="center" wrapText="1"/>
    </xf>
    <xf numFmtId="8" fontId="1" fillId="0" borderId="16" xfId="0" applyNumberFormat="1" applyFont="1" applyFill="1" applyBorder="1" applyAlignment="1">
      <alignment horizontal="center" wrapText="1"/>
    </xf>
    <xf numFmtId="8" fontId="1" fillId="0" borderId="17" xfId="0" applyNumberFormat="1" applyFont="1" applyFill="1" applyBorder="1" applyAlignment="1">
      <alignment horizontal="center" wrapText="1"/>
    </xf>
    <xf numFmtId="8" fontId="1" fillId="0" borderId="19" xfId="0" applyNumberFormat="1" applyFont="1" applyFill="1" applyBorder="1" applyAlignment="1">
      <alignment horizontal="center" wrapText="1"/>
    </xf>
    <xf numFmtId="8" fontId="1" fillId="0" borderId="21" xfId="0" applyNumberFormat="1" applyFont="1" applyFill="1" applyBorder="1" applyAlignment="1">
      <alignment horizontal="center" wrapText="1"/>
    </xf>
    <xf numFmtId="8" fontId="1" fillId="0" borderId="22" xfId="0" applyNumberFormat="1" applyFont="1" applyFill="1" applyBorder="1" applyAlignment="1">
      <alignment horizontal="center" wrapText="1"/>
    </xf>
    <xf numFmtId="8" fontId="1" fillId="0" borderId="23" xfId="0" applyNumberFormat="1" applyFont="1" applyFill="1" applyBorder="1" applyAlignment="1">
      <alignment horizontal="center" wrapText="1"/>
    </xf>
    <xf numFmtId="9" fontId="3" fillId="5" borderId="3" xfId="0" applyNumberFormat="1" applyFont="1" applyFill="1" applyBorder="1" applyAlignment="1">
      <alignment horizontal="center" wrapText="1"/>
    </xf>
    <xf numFmtId="9" fontId="3" fillId="5" borderId="4" xfId="0" applyNumberFormat="1" applyFont="1" applyFill="1" applyBorder="1" applyAlignment="1">
      <alignment horizontal="center" wrapText="1"/>
    </xf>
    <xf numFmtId="9" fontId="3" fillId="5" borderId="5" xfId="0" applyNumberFormat="1" applyFont="1" applyFill="1" applyBorder="1" applyAlignment="1">
      <alignment horizontal="center" wrapText="1"/>
    </xf>
    <xf numFmtId="9" fontId="1" fillId="5" borderId="3" xfId="0" applyNumberFormat="1" applyFont="1" applyFill="1" applyBorder="1" applyAlignment="1">
      <alignment horizontal="center" wrapText="1"/>
    </xf>
    <xf numFmtId="9" fontId="1" fillId="5" borderId="4" xfId="0" applyNumberFormat="1" applyFont="1" applyFill="1" applyBorder="1" applyAlignment="1">
      <alignment horizontal="center" wrapText="1"/>
    </xf>
    <xf numFmtId="9" fontId="1" fillId="5" borderId="5" xfId="0" applyNumberFormat="1" applyFont="1" applyFill="1" applyBorder="1" applyAlignment="1">
      <alignment horizontal="center" wrapText="1"/>
    </xf>
    <xf numFmtId="169" fontId="2" fillId="0" borderId="16" xfId="0" applyNumberFormat="1" applyFont="1" applyFill="1" applyBorder="1" applyAlignment="1">
      <alignment horizontal="center" wrapText="1"/>
    </xf>
    <xf numFmtId="169" fontId="2" fillId="0" borderId="17" xfId="0" applyNumberFormat="1" applyFont="1" applyFill="1" applyBorder="1" applyAlignment="1">
      <alignment horizontal="center" wrapText="1"/>
    </xf>
    <xf numFmtId="169" fontId="2" fillId="0" borderId="19" xfId="0" applyNumberFormat="1" applyFont="1" applyFill="1" applyBorder="1" applyAlignment="1">
      <alignment horizontal="center" wrapText="1"/>
    </xf>
    <xf numFmtId="169" fontId="2" fillId="0" borderId="6" xfId="0" applyNumberFormat="1" applyFont="1" applyFill="1" applyBorder="1" applyAlignment="1">
      <alignment horizontal="center" wrapText="1"/>
    </xf>
    <xf numFmtId="169" fontId="2" fillId="0" borderId="7" xfId="0" applyNumberFormat="1" applyFont="1" applyFill="1" applyBorder="1" applyAlignment="1">
      <alignment horizontal="center" wrapText="1"/>
    </xf>
    <xf numFmtId="169" fontId="2" fillId="0" borderId="8" xfId="0" applyNumberFormat="1" applyFont="1" applyFill="1" applyBorder="1" applyAlignment="1">
      <alignment horizontal="center" wrapText="1"/>
    </xf>
    <xf numFmtId="169" fontId="2" fillId="2" borderId="29" xfId="0" applyNumberFormat="1" applyFont="1" applyFill="1" applyBorder="1" applyAlignment="1">
      <alignment horizontal="center" wrapText="1"/>
    </xf>
    <xf numFmtId="169" fontId="2" fillId="2" borderId="30" xfId="0" applyNumberFormat="1" applyFont="1" applyFill="1" applyBorder="1" applyAlignment="1">
      <alignment horizontal="center" wrapText="1"/>
    </xf>
    <xf numFmtId="169" fontId="2" fillId="2" borderId="31" xfId="0" applyNumberFormat="1" applyFont="1" applyFill="1" applyBorder="1" applyAlignment="1">
      <alignment horizontal="center" wrapText="1"/>
    </xf>
    <xf numFmtId="169" fontId="2" fillId="0" borderId="32" xfId="0" applyNumberFormat="1" applyFont="1" applyFill="1" applyBorder="1" applyAlignment="1">
      <alignment horizontal="center" wrapText="1"/>
    </xf>
    <xf numFmtId="169" fontId="2" fillId="0" borderId="33" xfId="0" applyNumberFormat="1" applyFont="1" applyFill="1" applyBorder="1" applyAlignment="1">
      <alignment horizontal="center" wrapText="1"/>
    </xf>
    <xf numFmtId="9" fontId="1" fillId="5" borderId="32" xfId="0" applyNumberFormat="1" applyFont="1" applyFill="1" applyBorder="1" applyAlignment="1">
      <alignment horizontal="center" wrapText="1"/>
    </xf>
    <xf numFmtId="9" fontId="1" fillId="5" borderId="33" xfId="0" applyNumberFormat="1" applyFont="1" applyFill="1" applyBorder="1" applyAlignment="1">
      <alignment horizontal="center" wrapText="1"/>
    </xf>
    <xf numFmtId="169" fontId="2" fillId="5" borderId="21" xfId="0" applyNumberFormat="1" applyFont="1" applyFill="1" applyBorder="1" applyAlignment="1">
      <alignment horizontal="center" wrapText="1"/>
    </xf>
    <xf numFmtId="169" fontId="1" fillId="5" borderId="23" xfId="0" applyNumberFormat="1" applyFont="1" applyFill="1" applyBorder="1" applyAlignment="1">
      <alignment horizontal="center" wrapText="1"/>
    </xf>
    <xf numFmtId="169" fontId="2" fillId="2" borderId="21" xfId="0" applyNumberFormat="1" applyFont="1" applyFill="1" applyBorder="1" applyAlignment="1">
      <alignment horizontal="center" wrapText="1"/>
    </xf>
    <xf numFmtId="169" fontId="1" fillId="2" borderId="23" xfId="0" applyNumberFormat="1" applyFont="1" applyFill="1" applyBorder="1" applyAlignment="1">
      <alignment horizontal="center" wrapText="1"/>
    </xf>
    <xf numFmtId="169" fontId="1" fillId="5" borderId="21" xfId="0" applyNumberFormat="1" applyFont="1" applyFill="1" applyBorder="1" applyAlignment="1">
      <alignment horizontal="center" wrapText="1"/>
    </xf>
    <xf numFmtId="169" fontId="1" fillId="2" borderId="21" xfId="0" applyNumberFormat="1" applyFont="1" applyFill="1" applyBorder="1" applyAlignment="1">
      <alignment horizontal="center" wrapText="1"/>
    </xf>
    <xf numFmtId="169" fontId="2" fillId="5" borderId="23" xfId="0" applyNumberFormat="1" applyFont="1" applyFill="1" applyBorder="1" applyAlignment="1">
      <alignment horizontal="center" wrapText="1"/>
    </xf>
    <xf numFmtId="169" fontId="2" fillId="2" borderId="23" xfId="0" applyNumberFormat="1" applyFont="1" applyFill="1" applyBorder="1" applyAlignment="1">
      <alignment horizontal="center" wrapText="1"/>
    </xf>
    <xf numFmtId="164" fontId="3" fillId="2" borderId="13" xfId="0" applyNumberFormat="1" applyFont="1" applyFill="1" applyBorder="1" applyAlignment="1">
      <alignment horizontal="right" vertical="center" wrapText="1" indent="1"/>
    </xf>
    <xf numFmtId="0" fontId="3" fillId="2" borderId="75" xfId="0" applyFont="1" applyFill="1" applyBorder="1" applyAlignment="1">
      <alignment horizontal="right" vertical="center" wrapText="1" indent="1"/>
    </xf>
    <xf numFmtId="0" fontId="3" fillId="2" borderId="14" xfId="0" applyFont="1" applyFill="1" applyBorder="1" applyAlignment="1">
      <alignment horizontal="right" vertical="center" wrapText="1" indent="1"/>
    </xf>
    <xf numFmtId="169" fontId="2" fillId="0" borderId="29" xfId="0" applyNumberFormat="1" applyFont="1" applyFill="1" applyBorder="1" applyAlignment="1">
      <alignment horizontal="center" wrapText="1"/>
    </xf>
    <xf numFmtId="169" fontId="2" fillId="0" borderId="30" xfId="0" applyNumberFormat="1" applyFont="1" applyFill="1" applyBorder="1" applyAlignment="1">
      <alignment horizontal="center" wrapText="1"/>
    </xf>
    <xf numFmtId="169" fontId="2" fillId="0" borderId="31" xfId="0" applyNumberFormat="1" applyFont="1" applyFill="1" applyBorder="1" applyAlignment="1">
      <alignment horizontal="center" wrapText="1"/>
    </xf>
    <xf numFmtId="8" fontId="4" fillId="0" borderId="29" xfId="0" applyNumberFormat="1" applyFont="1" applyFill="1" applyBorder="1" applyAlignment="1">
      <alignment horizontal="center" wrapText="1"/>
    </xf>
    <xf numFmtId="8" fontId="4" fillId="0" borderId="30" xfId="0" applyNumberFormat="1" applyFont="1" applyFill="1" applyBorder="1" applyAlignment="1">
      <alignment horizontal="center" wrapText="1"/>
    </xf>
    <xf numFmtId="8" fontId="4" fillId="0" borderId="31" xfId="0" applyNumberFormat="1" applyFont="1" applyFill="1" applyBorder="1" applyAlignment="1">
      <alignment horizontal="center" wrapText="1"/>
    </xf>
    <xf numFmtId="164" fontId="4" fillId="0" borderId="3" xfId="0" applyNumberFormat="1" applyFont="1" applyFill="1" applyBorder="1" applyAlignment="1">
      <alignment horizontal="center"/>
    </xf>
    <xf numFmtId="164" fontId="4" fillId="0" borderId="4" xfId="0" applyNumberFormat="1" applyFont="1" applyFill="1" applyBorder="1" applyAlignment="1">
      <alignment horizontal="center"/>
    </xf>
    <xf numFmtId="164" fontId="4" fillId="0" borderId="5" xfId="0" applyNumberFormat="1" applyFont="1" applyFill="1" applyBorder="1" applyAlignment="1">
      <alignment horizontal="center"/>
    </xf>
    <xf numFmtId="8" fontId="4" fillId="0" borderId="21" xfId="0" applyNumberFormat="1" applyFont="1" applyFill="1" applyBorder="1" applyAlignment="1">
      <alignment horizontal="center" wrapText="1"/>
    </xf>
    <xf numFmtId="8" fontId="4" fillId="0" borderId="22" xfId="0" applyNumberFormat="1" applyFont="1" applyFill="1" applyBorder="1" applyAlignment="1">
      <alignment horizontal="center" wrapText="1"/>
    </xf>
    <xf numFmtId="8" fontId="4" fillId="0" borderId="23" xfId="0" applyNumberFormat="1" applyFont="1" applyFill="1" applyBorder="1" applyAlignment="1">
      <alignment horizontal="center" wrapText="1"/>
    </xf>
    <xf numFmtId="8" fontId="4" fillId="0" borderId="16" xfId="0" applyNumberFormat="1" applyFont="1" applyFill="1" applyBorder="1" applyAlignment="1">
      <alignment horizontal="center" wrapText="1"/>
    </xf>
    <xf numFmtId="8" fontId="4" fillId="0" borderId="17" xfId="0" applyNumberFormat="1" applyFont="1" applyFill="1" applyBorder="1" applyAlignment="1">
      <alignment horizontal="center" wrapText="1"/>
    </xf>
    <xf numFmtId="8" fontId="4" fillId="0" borderId="19" xfId="0" applyNumberFormat="1" applyFont="1" applyFill="1" applyBorder="1" applyAlignment="1">
      <alignment horizontal="center" wrapText="1"/>
    </xf>
    <xf numFmtId="8" fontId="1" fillId="2" borderId="21" xfId="0" applyNumberFormat="1" applyFont="1" applyFill="1" applyBorder="1" applyAlignment="1">
      <alignment horizontal="center" wrapText="1"/>
    </xf>
    <xf numFmtId="8" fontId="1" fillId="2" borderId="22" xfId="0" applyNumberFormat="1" applyFont="1" applyFill="1" applyBorder="1" applyAlignment="1">
      <alignment horizontal="center" wrapText="1"/>
    </xf>
    <xf numFmtId="8" fontId="1" fillId="2" borderId="23" xfId="0" applyNumberFormat="1" applyFont="1" applyFill="1" applyBorder="1" applyAlignment="1">
      <alignment horizontal="center" wrapText="1"/>
    </xf>
    <xf numFmtId="8" fontId="4" fillId="2" borderId="21" xfId="0" applyNumberFormat="1" applyFont="1" applyFill="1" applyBorder="1" applyAlignment="1">
      <alignment horizontal="center" wrapText="1"/>
    </xf>
    <xf numFmtId="8" fontId="4" fillId="2" borderId="22" xfId="0" applyNumberFormat="1" applyFont="1" applyFill="1" applyBorder="1" applyAlignment="1">
      <alignment horizontal="center" wrapText="1"/>
    </xf>
    <xf numFmtId="8" fontId="4" fillId="2" borderId="23" xfId="0" applyNumberFormat="1" applyFont="1" applyFill="1" applyBorder="1" applyAlignment="1">
      <alignment horizontal="center" wrapText="1"/>
    </xf>
    <xf numFmtId="8" fontId="1" fillId="5" borderId="21" xfId="0" applyNumberFormat="1" applyFont="1" applyFill="1" applyBorder="1" applyAlignment="1">
      <alignment horizontal="center" wrapText="1"/>
    </xf>
    <xf numFmtId="8" fontId="1" fillId="5" borderId="22" xfId="0" applyNumberFormat="1" applyFont="1" applyFill="1" applyBorder="1" applyAlignment="1">
      <alignment horizontal="center" wrapText="1"/>
    </xf>
    <xf numFmtId="8" fontId="1" fillId="5" borderId="23" xfId="0" applyNumberFormat="1" applyFont="1" applyFill="1" applyBorder="1" applyAlignment="1">
      <alignment horizontal="center" wrapText="1"/>
    </xf>
    <xf numFmtId="8" fontId="4" fillId="5" borderId="21" xfId="0" applyNumberFormat="1" applyFont="1" applyFill="1" applyBorder="1" applyAlignment="1">
      <alignment horizontal="center" wrapText="1"/>
    </xf>
    <xf numFmtId="8" fontId="4" fillId="5" borderId="22" xfId="0" applyNumberFormat="1" applyFont="1" applyFill="1" applyBorder="1" applyAlignment="1">
      <alignment horizontal="center" wrapText="1"/>
    </xf>
    <xf numFmtId="8" fontId="4" fillId="5" borderId="23" xfId="0" applyNumberFormat="1" applyFont="1" applyFill="1" applyBorder="1" applyAlignment="1">
      <alignment horizontal="center" wrapText="1"/>
    </xf>
    <xf numFmtId="8" fontId="1" fillId="0" borderId="32" xfId="0" applyNumberFormat="1" applyFont="1" applyFill="1" applyBorder="1" applyAlignment="1">
      <alignment horizontal="center" wrapText="1"/>
    </xf>
    <xf numFmtId="8" fontId="1" fillId="0" borderId="33" xfId="0" applyNumberFormat="1" applyFont="1" applyFill="1" applyBorder="1" applyAlignment="1">
      <alignment horizontal="center" wrapText="1"/>
    </xf>
    <xf numFmtId="8" fontId="4" fillId="0" borderId="32" xfId="0" applyNumberFormat="1" applyFont="1" applyFill="1" applyBorder="1" applyAlignment="1">
      <alignment horizontal="center" wrapText="1"/>
    </xf>
    <xf numFmtId="8" fontId="4" fillId="0" borderId="33" xfId="0" applyNumberFormat="1" applyFont="1" applyFill="1" applyBorder="1" applyAlignment="1">
      <alignment horizontal="center" wrapText="1"/>
    </xf>
    <xf numFmtId="164" fontId="4" fillId="5" borderId="32" xfId="0" applyNumberFormat="1" applyFont="1" applyFill="1" applyBorder="1" applyAlignment="1">
      <alignment horizontal="center" wrapText="1"/>
    </xf>
    <xf numFmtId="164" fontId="4" fillId="5" borderId="33" xfId="0" applyNumberFormat="1" applyFont="1" applyFill="1" applyBorder="1" applyAlignment="1">
      <alignment horizontal="center" wrapText="1"/>
    </xf>
    <xf numFmtId="8" fontId="4" fillId="2" borderId="29" xfId="0" applyNumberFormat="1" applyFont="1" applyFill="1" applyBorder="1" applyAlignment="1">
      <alignment horizontal="center" wrapText="1"/>
    </xf>
    <xf numFmtId="8" fontId="4" fillId="2" borderId="30" xfId="0" applyNumberFormat="1" applyFont="1" applyFill="1" applyBorder="1" applyAlignment="1">
      <alignment horizontal="center" wrapText="1"/>
    </xf>
    <xf numFmtId="8" fontId="4" fillId="2" borderId="31" xfId="0" applyNumberFormat="1" applyFont="1" applyFill="1" applyBorder="1" applyAlignment="1">
      <alignment horizontal="center" wrapText="1"/>
    </xf>
    <xf numFmtId="8" fontId="1" fillId="4" borderId="21" xfId="0" applyNumberFormat="1" applyFont="1" applyFill="1" applyBorder="1" applyAlignment="1">
      <alignment horizontal="center" wrapText="1"/>
    </xf>
    <xf numFmtId="8" fontId="1" fillId="4" borderId="22" xfId="0" applyNumberFormat="1" applyFont="1" applyFill="1" applyBorder="1" applyAlignment="1">
      <alignment horizontal="center" wrapText="1"/>
    </xf>
    <xf numFmtId="8" fontId="1" fillId="4" borderId="23" xfId="0" applyNumberFormat="1" applyFont="1" applyFill="1" applyBorder="1" applyAlignment="1">
      <alignment horizontal="center" wrapText="1"/>
    </xf>
    <xf numFmtId="10" fontId="3" fillId="5" borderId="3" xfId="0" applyNumberFormat="1" applyFont="1" applyFill="1" applyBorder="1" applyAlignment="1">
      <alignment horizontal="center" wrapText="1"/>
    </xf>
    <xf numFmtId="10" fontId="3" fillId="5" borderId="4" xfId="0" applyNumberFormat="1" applyFont="1" applyFill="1" applyBorder="1" applyAlignment="1">
      <alignment horizontal="center" wrapText="1"/>
    </xf>
    <xf numFmtId="10" fontId="3" fillId="5" borderId="5" xfId="0" applyNumberFormat="1" applyFont="1" applyFill="1" applyBorder="1" applyAlignment="1">
      <alignment horizontal="center" wrapText="1"/>
    </xf>
    <xf numFmtId="164" fontId="4" fillId="5" borderId="3" xfId="0" applyNumberFormat="1" applyFont="1" applyFill="1" applyBorder="1" applyAlignment="1">
      <alignment horizontal="center" wrapText="1"/>
    </xf>
    <xf numFmtId="164" fontId="4" fillId="5" borderId="4" xfId="0" applyNumberFormat="1" applyFont="1" applyFill="1" applyBorder="1" applyAlignment="1">
      <alignment horizontal="center" wrapText="1"/>
    </xf>
    <xf numFmtId="164" fontId="4" fillId="5" borderId="5" xfId="0" applyNumberFormat="1" applyFont="1" applyFill="1" applyBorder="1" applyAlignment="1">
      <alignment horizontal="center" wrapText="1"/>
    </xf>
    <xf numFmtId="0" fontId="3" fillId="2" borderId="13" xfId="0" applyFont="1" applyFill="1" applyBorder="1" applyAlignment="1">
      <alignment horizontal="right" vertical="center" wrapText="1" indent="1"/>
    </xf>
    <xf numFmtId="0" fontId="14" fillId="2" borderId="75" xfId="0" applyFont="1" applyFill="1" applyBorder="1" applyAlignment="1">
      <alignment horizontal="right" vertical="center" wrapText="1" indent="1"/>
    </xf>
    <xf numFmtId="0" fontId="14" fillId="2" borderId="14" xfId="0" applyFont="1" applyFill="1" applyBorder="1" applyAlignment="1">
      <alignment horizontal="right" vertical="center" wrapText="1" indent="1"/>
    </xf>
    <xf numFmtId="10" fontId="2" fillId="0" borderId="3" xfId="0" applyNumberFormat="1" applyFont="1" applyFill="1" applyBorder="1" applyAlignment="1">
      <alignment horizontal="center"/>
    </xf>
    <xf numFmtId="0" fontId="2" fillId="0" borderId="4" xfId="0" applyFont="1" applyFill="1" applyBorder="1" applyAlignment="1">
      <alignment horizontal="center"/>
    </xf>
    <xf numFmtId="0" fontId="2" fillId="0" borderId="5" xfId="0" applyFont="1" applyFill="1" applyBorder="1" applyAlignment="1">
      <alignment horizontal="center"/>
    </xf>
    <xf numFmtId="8" fontId="1" fillId="2" borderId="29" xfId="0" applyNumberFormat="1" applyFont="1" applyFill="1" applyBorder="1" applyAlignment="1">
      <alignment horizontal="center" wrapText="1"/>
    </xf>
    <xf numFmtId="8" fontId="1" fillId="2" borderId="30" xfId="0" applyNumberFormat="1" applyFont="1" applyFill="1" applyBorder="1" applyAlignment="1">
      <alignment horizontal="center" wrapText="1"/>
    </xf>
    <xf numFmtId="8" fontId="1" fillId="2" borderId="31" xfId="0" applyNumberFormat="1" applyFont="1" applyFill="1" applyBorder="1" applyAlignment="1">
      <alignment horizontal="center" wrapText="1"/>
    </xf>
    <xf numFmtId="9" fontId="1" fillId="6" borderId="29" xfId="0" applyNumberFormat="1" applyFont="1" applyFill="1" applyBorder="1" applyAlignment="1">
      <alignment horizontal="center" wrapText="1"/>
    </xf>
    <xf numFmtId="9" fontId="1" fillId="6" borderId="31" xfId="0" applyNumberFormat="1" applyFont="1" applyFill="1" applyBorder="1" applyAlignment="1">
      <alignment horizontal="center" wrapText="1"/>
    </xf>
    <xf numFmtId="10" fontId="4" fillId="6" borderId="3" xfId="0" applyNumberFormat="1" applyFont="1" applyFill="1" applyBorder="1" applyAlignment="1">
      <alignment horizontal="center"/>
    </xf>
    <xf numFmtId="0" fontId="4" fillId="6" borderId="4" xfId="0" applyFont="1" applyFill="1" applyBorder="1" applyAlignment="1">
      <alignment horizontal="center"/>
    </xf>
    <xf numFmtId="0" fontId="4" fillId="6" borderId="5" xfId="0" applyFont="1" applyFill="1" applyBorder="1" applyAlignment="1">
      <alignment horizontal="center"/>
    </xf>
    <xf numFmtId="6" fontId="1" fillId="5" borderId="21" xfId="0" applyNumberFormat="1" applyFont="1" applyFill="1" applyBorder="1" applyAlignment="1">
      <alignment horizontal="center" wrapText="1"/>
    </xf>
    <xf numFmtId="6" fontId="1" fillId="5" borderId="22" xfId="0" applyNumberFormat="1" applyFont="1" applyFill="1" applyBorder="1" applyAlignment="1">
      <alignment horizontal="center" wrapText="1"/>
    </xf>
    <xf numFmtId="6" fontId="1" fillId="5" borderId="23" xfId="0" applyNumberFormat="1" applyFont="1" applyFill="1" applyBorder="1" applyAlignment="1">
      <alignment horizontal="center" wrapText="1"/>
    </xf>
    <xf numFmtId="6" fontId="1" fillId="2" borderId="21" xfId="0" applyNumberFormat="1" applyFont="1" applyFill="1" applyBorder="1" applyAlignment="1">
      <alignment horizontal="center" wrapText="1"/>
    </xf>
    <xf numFmtId="6" fontId="1" fillId="2" borderId="22" xfId="0" applyNumberFormat="1" applyFont="1" applyFill="1" applyBorder="1" applyAlignment="1">
      <alignment horizontal="center" wrapText="1"/>
    </xf>
    <xf numFmtId="6" fontId="1" fillId="2" borderId="23" xfId="0" applyNumberFormat="1" applyFont="1" applyFill="1" applyBorder="1" applyAlignment="1">
      <alignment horizontal="center" wrapText="1"/>
    </xf>
    <xf numFmtId="0" fontId="3" fillId="2" borderId="3" xfId="0" applyFont="1" applyFill="1" applyBorder="1" applyAlignment="1">
      <alignment horizontal="left" indent="1"/>
    </xf>
    <xf numFmtId="0" fontId="3" fillId="2" borderId="4" xfId="0" applyFont="1" applyFill="1" applyBorder="1" applyAlignment="1">
      <alignment horizontal="left"/>
    </xf>
    <xf numFmtId="6" fontId="4" fillId="2" borderId="3" xfId="0" applyNumberFormat="1" applyFont="1" applyFill="1" applyBorder="1" applyAlignment="1">
      <alignment horizontal="center"/>
    </xf>
    <xf numFmtId="6" fontId="4" fillId="2" borderId="4" xfId="0" applyNumberFormat="1" applyFont="1" applyFill="1" applyBorder="1" applyAlignment="1">
      <alignment horizontal="center"/>
    </xf>
    <xf numFmtId="6" fontId="4" fillId="2" borderId="5" xfId="0" applyNumberFormat="1" applyFont="1" applyFill="1" applyBorder="1" applyAlignment="1">
      <alignment horizontal="center"/>
    </xf>
    <xf numFmtId="0" fontId="1" fillId="5" borderId="6" xfId="0" applyFont="1" applyFill="1" applyBorder="1" applyAlignment="1">
      <alignment horizontal="left" vertical="center" indent="1"/>
    </xf>
    <xf numFmtId="0" fontId="1" fillId="5" borderId="7" xfId="0" applyFont="1" applyFill="1" applyBorder="1" applyAlignment="1">
      <alignment horizontal="left" vertical="center"/>
    </xf>
    <xf numFmtId="0" fontId="1" fillId="5" borderId="9" xfId="0" applyFont="1" applyFill="1" applyBorder="1" applyAlignment="1">
      <alignment horizontal="left" vertical="center"/>
    </xf>
    <xf numFmtId="0" fontId="1" fillId="5" borderId="10" xfId="0" applyFont="1" applyFill="1" applyBorder="1" applyAlignment="1">
      <alignment horizontal="left" vertical="center"/>
    </xf>
    <xf numFmtId="165" fontId="1" fillId="5" borderId="15" xfId="0" applyNumberFormat="1" applyFont="1" applyFill="1" applyBorder="1" applyAlignment="1">
      <alignment horizontal="right" vertical="center" wrapText="1" indent="1"/>
    </xf>
    <xf numFmtId="0" fontId="1" fillId="5" borderId="28" xfId="0" applyFont="1" applyFill="1" applyBorder="1" applyAlignment="1">
      <alignment horizontal="right" vertical="center" wrapText="1" indent="1"/>
    </xf>
    <xf numFmtId="166" fontId="1" fillId="2" borderId="15" xfId="0" applyNumberFormat="1" applyFont="1" applyFill="1" applyBorder="1" applyAlignment="1">
      <alignment horizontal="right" vertical="center" wrapText="1" indent="1"/>
    </xf>
    <xf numFmtId="0" fontId="1" fillId="0" borderId="28" xfId="0" applyFont="1" applyBorder="1" applyAlignment="1">
      <alignment horizontal="right" vertical="center" wrapText="1" indent="1"/>
    </xf>
    <xf numFmtId="0" fontId="1" fillId="4" borderId="6" xfId="0" applyFont="1" applyFill="1" applyBorder="1" applyAlignment="1">
      <alignment horizontal="center" vertical="center" wrapText="1"/>
    </xf>
    <xf numFmtId="0" fontId="0" fillId="4" borderId="7" xfId="0" applyFill="1" applyBorder="1" applyAlignment="1">
      <alignment horizontal="center" vertical="center" wrapText="1"/>
    </xf>
    <xf numFmtId="0" fontId="0" fillId="4" borderId="8" xfId="0" applyFill="1" applyBorder="1" applyAlignment="1">
      <alignment horizontal="center" vertical="center" wrapText="1"/>
    </xf>
    <xf numFmtId="6" fontId="1" fillId="0" borderId="16" xfId="0" applyNumberFormat="1" applyFont="1" applyFill="1" applyBorder="1" applyAlignment="1">
      <alignment horizontal="center" wrapText="1"/>
    </xf>
    <xf numFmtId="6" fontId="1" fillId="0" borderId="17" xfId="0" applyNumberFormat="1" applyFont="1" applyFill="1" applyBorder="1" applyAlignment="1">
      <alignment horizontal="center" wrapText="1"/>
    </xf>
    <xf numFmtId="6" fontId="1" fillId="0" borderId="19" xfId="0" applyNumberFormat="1" applyFont="1" applyFill="1" applyBorder="1" applyAlignment="1">
      <alignment horizontal="center" wrapText="1"/>
    </xf>
    <xf numFmtId="1" fontId="3" fillId="2" borderId="3" xfId="0" applyNumberFormat="1" applyFont="1" applyFill="1" applyBorder="1" applyAlignment="1">
      <alignment horizontal="center" wrapText="1"/>
    </xf>
    <xf numFmtId="1" fontId="3" fillId="2" borderId="4" xfId="0" applyNumberFormat="1" applyFont="1" applyFill="1" applyBorder="1" applyAlignment="1">
      <alignment horizontal="center" wrapText="1"/>
    </xf>
    <xf numFmtId="1" fontId="3" fillId="2" borderId="5" xfId="0" applyNumberFormat="1" applyFont="1" applyFill="1" applyBorder="1" applyAlignment="1">
      <alignment horizontal="center" wrapText="1"/>
    </xf>
    <xf numFmtId="164" fontId="1" fillId="2" borderId="3" xfId="0" applyNumberFormat="1" applyFont="1" applyFill="1" applyBorder="1" applyAlignment="1">
      <alignment horizontal="center" wrapText="1"/>
    </xf>
    <xf numFmtId="0" fontId="1" fillId="2" borderId="4" xfId="0" applyFont="1" applyFill="1" applyBorder="1" applyAlignment="1">
      <alignment horizontal="center" wrapText="1"/>
    </xf>
    <xf numFmtId="0" fontId="1" fillId="2" borderId="5" xfId="0" applyFont="1" applyFill="1" applyBorder="1" applyAlignment="1">
      <alignment horizontal="center" wrapText="1"/>
    </xf>
    <xf numFmtId="164" fontId="1" fillId="2" borderId="4" xfId="0" applyNumberFormat="1" applyFont="1" applyFill="1" applyBorder="1" applyAlignment="1">
      <alignment horizontal="center" wrapText="1"/>
    </xf>
    <xf numFmtId="6" fontId="1" fillId="0" borderId="3" xfId="0" applyNumberFormat="1" applyFont="1" applyBorder="1" applyAlignment="1">
      <alignment horizontal="center" wrapText="1"/>
    </xf>
    <xf numFmtId="6" fontId="1" fillId="0" borderId="4" xfId="0" applyNumberFormat="1" applyFont="1" applyBorder="1" applyAlignment="1">
      <alignment horizontal="center" wrapText="1"/>
    </xf>
    <xf numFmtId="6" fontId="1" fillId="0" borderId="5" xfId="0" applyNumberFormat="1" applyFont="1" applyBorder="1" applyAlignment="1">
      <alignment horizontal="center" wrapText="1"/>
    </xf>
    <xf numFmtId="6" fontId="1" fillId="4" borderId="42" xfId="0" applyNumberFormat="1" applyFont="1" applyFill="1" applyBorder="1" applyAlignment="1">
      <alignment horizontal="center" wrapText="1"/>
    </xf>
    <xf numFmtId="6" fontId="1" fillId="4" borderId="44" xfId="0" applyNumberFormat="1" applyFont="1" applyFill="1" applyBorder="1" applyAlignment="1">
      <alignment horizontal="center" wrapText="1"/>
    </xf>
    <xf numFmtId="6" fontId="1" fillId="4" borderId="43" xfId="0" applyNumberFormat="1" applyFont="1" applyFill="1" applyBorder="1" applyAlignment="1">
      <alignment horizontal="center" wrapText="1"/>
    </xf>
    <xf numFmtId="6" fontId="1" fillId="2" borderId="2" xfId="0" applyNumberFormat="1" applyFont="1" applyFill="1" applyBorder="1" applyAlignment="1">
      <alignment horizontal="center" wrapText="1"/>
    </xf>
    <xf numFmtId="6" fontId="1" fillId="2" borderId="0" xfId="0" applyNumberFormat="1" applyFont="1" applyFill="1" applyBorder="1" applyAlignment="1">
      <alignment horizontal="center" wrapText="1"/>
    </xf>
    <xf numFmtId="6" fontId="1" fillId="2" borderId="1" xfId="0" applyNumberFormat="1" applyFont="1" applyFill="1" applyBorder="1" applyAlignment="1">
      <alignment horizontal="center" wrapText="1"/>
    </xf>
    <xf numFmtId="9" fontId="1" fillId="5" borderId="29" xfId="0" applyNumberFormat="1" applyFont="1" applyFill="1" applyBorder="1" applyAlignment="1">
      <alignment horizontal="center" wrapText="1"/>
    </xf>
    <xf numFmtId="9" fontId="1" fillId="5" borderId="30" xfId="0" applyNumberFormat="1" applyFont="1" applyFill="1" applyBorder="1" applyAlignment="1">
      <alignment horizontal="center" wrapText="1"/>
    </xf>
    <xf numFmtId="9" fontId="1" fillId="5" borderId="31" xfId="0" applyNumberFormat="1" applyFont="1" applyFill="1" applyBorder="1" applyAlignment="1">
      <alignment horizontal="center" wrapText="1"/>
    </xf>
    <xf numFmtId="9" fontId="4" fillId="5" borderId="29" xfId="0" applyNumberFormat="1" applyFont="1" applyFill="1" applyBorder="1" applyAlignment="1">
      <alignment horizontal="center"/>
    </xf>
    <xf numFmtId="9" fontId="4" fillId="5" borderId="30" xfId="0" applyNumberFormat="1" applyFont="1" applyFill="1" applyBorder="1" applyAlignment="1">
      <alignment horizontal="center"/>
    </xf>
    <xf numFmtId="9" fontId="4" fillId="5" borderId="31" xfId="0" applyNumberFormat="1" applyFont="1" applyFill="1" applyBorder="1" applyAlignment="1">
      <alignment horizontal="center"/>
    </xf>
    <xf numFmtId="9" fontId="4" fillId="2" borderId="25" xfId="0" applyNumberFormat="1" applyFont="1" applyFill="1" applyBorder="1" applyAlignment="1">
      <alignment horizontal="center"/>
    </xf>
    <xf numFmtId="9" fontId="4" fillId="2" borderId="26" xfId="0" applyNumberFormat="1" applyFont="1" applyFill="1" applyBorder="1" applyAlignment="1">
      <alignment horizontal="center"/>
    </xf>
    <xf numFmtId="9" fontId="4" fillId="2" borderId="27" xfId="0" applyNumberFormat="1" applyFont="1" applyFill="1" applyBorder="1" applyAlignment="1">
      <alignment horizontal="center"/>
    </xf>
    <xf numFmtId="10" fontId="1" fillId="4" borderId="9" xfId="0" applyNumberFormat="1" applyFont="1" applyFill="1" applyBorder="1" applyAlignment="1">
      <alignment horizontal="center"/>
    </xf>
    <xf numFmtId="0" fontId="1" fillId="4" borderId="10" xfId="0" applyFont="1" applyFill="1" applyBorder="1" applyAlignment="1">
      <alignment horizontal="center"/>
    </xf>
    <xf numFmtId="0" fontId="1" fillId="4" borderId="11" xfId="0" applyFont="1" applyFill="1" applyBorder="1" applyAlignment="1">
      <alignment horizontal="center"/>
    </xf>
    <xf numFmtId="6" fontId="4" fillId="0" borderId="3" xfId="0" applyNumberFormat="1" applyFont="1" applyFill="1" applyBorder="1" applyAlignment="1">
      <alignment horizontal="center" wrapText="1"/>
    </xf>
    <xf numFmtId="6" fontId="4" fillId="0" borderId="4" xfId="0" applyNumberFormat="1" applyFont="1" applyFill="1" applyBorder="1" applyAlignment="1">
      <alignment horizontal="center" wrapText="1"/>
    </xf>
    <xf numFmtId="6" fontId="4" fillId="0" borderId="5" xfId="0" applyNumberFormat="1" applyFont="1" applyFill="1" applyBorder="1" applyAlignment="1">
      <alignment horizontal="center" wrapText="1"/>
    </xf>
    <xf numFmtId="6" fontId="1" fillId="5" borderId="16" xfId="0" applyNumberFormat="1" applyFont="1" applyFill="1" applyBorder="1" applyAlignment="1">
      <alignment horizontal="center" wrapText="1"/>
    </xf>
    <xf numFmtId="6" fontId="1" fillId="5" borderId="17" xfId="0" applyNumberFormat="1" applyFont="1" applyFill="1" applyBorder="1" applyAlignment="1">
      <alignment horizontal="center" wrapText="1"/>
    </xf>
    <xf numFmtId="6" fontId="1" fillId="5" borderId="19" xfId="0" applyNumberFormat="1" applyFont="1" applyFill="1" applyBorder="1" applyAlignment="1">
      <alignment horizontal="center" wrapText="1"/>
    </xf>
    <xf numFmtId="6" fontId="4" fillId="0" borderId="16" xfId="0" applyNumberFormat="1" applyFont="1" applyFill="1" applyBorder="1" applyAlignment="1">
      <alignment horizontal="center"/>
    </xf>
    <xf numFmtId="6" fontId="4" fillId="0" borderId="17" xfId="0" applyNumberFormat="1" applyFont="1" applyFill="1" applyBorder="1" applyAlignment="1">
      <alignment horizontal="center"/>
    </xf>
    <xf numFmtId="6" fontId="4" fillId="0" borderId="19" xfId="0" applyNumberFormat="1" applyFont="1" applyFill="1" applyBorder="1" applyAlignment="1">
      <alignment horizontal="center"/>
    </xf>
    <xf numFmtId="6" fontId="4" fillId="5" borderId="21" xfId="0" applyNumberFormat="1" applyFont="1" applyFill="1" applyBorder="1" applyAlignment="1">
      <alignment horizontal="center"/>
    </xf>
    <xf numFmtId="6" fontId="4" fillId="5" borderId="22" xfId="0" applyNumberFormat="1" applyFont="1" applyFill="1" applyBorder="1" applyAlignment="1">
      <alignment horizontal="center"/>
    </xf>
    <xf numFmtId="6" fontId="4" fillId="5" borderId="23" xfId="0" applyNumberFormat="1" applyFont="1" applyFill="1" applyBorder="1" applyAlignment="1">
      <alignment horizontal="center"/>
    </xf>
    <xf numFmtId="6" fontId="4" fillId="2" borderId="21" xfId="0" applyNumberFormat="1" applyFont="1" applyFill="1" applyBorder="1" applyAlignment="1">
      <alignment horizontal="center"/>
    </xf>
    <xf numFmtId="6" fontId="4" fillId="2" borderId="22" xfId="0" applyNumberFormat="1" applyFont="1" applyFill="1" applyBorder="1" applyAlignment="1">
      <alignment horizontal="center"/>
    </xf>
    <xf numFmtId="6" fontId="4" fillId="2" borderId="23" xfId="0" applyNumberFormat="1" applyFont="1" applyFill="1" applyBorder="1" applyAlignment="1">
      <alignment horizontal="center"/>
    </xf>
    <xf numFmtId="6" fontId="4" fillId="5" borderId="16" xfId="0" applyNumberFormat="1" applyFont="1" applyFill="1" applyBorder="1" applyAlignment="1">
      <alignment horizontal="center"/>
    </xf>
    <xf numFmtId="6" fontId="4" fillId="5" borderId="17" xfId="0" applyNumberFormat="1" applyFont="1" applyFill="1" applyBorder="1" applyAlignment="1">
      <alignment horizontal="center"/>
    </xf>
    <xf numFmtId="6" fontId="4" fillId="5" borderId="19" xfId="0" applyNumberFormat="1" applyFont="1" applyFill="1" applyBorder="1" applyAlignment="1">
      <alignment horizontal="center"/>
    </xf>
    <xf numFmtId="9" fontId="4" fillId="2" borderId="29" xfId="0" applyNumberFormat="1" applyFont="1" applyFill="1" applyBorder="1" applyAlignment="1">
      <alignment horizontal="center"/>
    </xf>
    <xf numFmtId="9" fontId="4" fillId="2" borderId="30" xfId="0" applyNumberFormat="1" applyFont="1" applyFill="1" applyBorder="1" applyAlignment="1">
      <alignment horizontal="center"/>
    </xf>
    <xf numFmtId="9" fontId="4" fillId="2" borderId="31" xfId="0" applyNumberFormat="1" applyFont="1" applyFill="1" applyBorder="1" applyAlignment="1">
      <alignment horizontal="center"/>
    </xf>
    <xf numFmtId="6" fontId="4" fillId="5" borderId="16" xfId="0" applyNumberFormat="1" applyFont="1" applyFill="1" applyBorder="1" applyAlignment="1">
      <alignment horizontal="center" wrapText="1"/>
    </xf>
    <xf numFmtId="6" fontId="4" fillId="5" borderId="17" xfId="0" applyNumberFormat="1" applyFont="1" applyFill="1" applyBorder="1" applyAlignment="1">
      <alignment horizontal="center" wrapText="1"/>
    </xf>
    <xf numFmtId="6" fontId="4" fillId="5" borderId="19" xfId="0" applyNumberFormat="1" applyFont="1" applyFill="1" applyBorder="1" applyAlignment="1">
      <alignment horizontal="center" wrapText="1"/>
    </xf>
    <xf numFmtId="9" fontId="4" fillId="5" borderId="21" xfId="0" applyNumberFormat="1" applyFont="1" applyFill="1" applyBorder="1" applyAlignment="1">
      <alignment horizontal="center"/>
    </xf>
    <xf numFmtId="9" fontId="4" fillId="5" borderId="22" xfId="0" applyNumberFormat="1" applyFont="1" applyFill="1" applyBorder="1" applyAlignment="1">
      <alignment horizontal="center"/>
    </xf>
    <xf numFmtId="9" fontId="4" fillId="5" borderId="23" xfId="0" applyNumberFormat="1" applyFont="1" applyFill="1" applyBorder="1" applyAlignment="1">
      <alignment horizontal="center"/>
    </xf>
    <xf numFmtId="9" fontId="1" fillId="5" borderId="28" xfId="0" applyNumberFormat="1" applyFont="1" applyFill="1" applyBorder="1" applyAlignment="1">
      <alignment horizontal="center"/>
    </xf>
    <xf numFmtId="9" fontId="1" fillId="5" borderId="29" xfId="0" applyNumberFormat="1" applyFont="1" applyFill="1" applyBorder="1" applyAlignment="1">
      <alignment horizontal="center"/>
    </xf>
    <xf numFmtId="9" fontId="4" fillId="5" borderId="28" xfId="0" applyNumberFormat="1" applyFont="1" applyFill="1" applyBorder="1" applyAlignment="1">
      <alignment horizontal="center"/>
    </xf>
    <xf numFmtId="9" fontId="1" fillId="2" borderId="29" xfId="0" applyNumberFormat="1" applyFont="1" applyFill="1" applyBorder="1" applyAlignment="1">
      <alignment horizontal="center"/>
    </xf>
    <xf numFmtId="9" fontId="1" fillId="2" borderId="30" xfId="0" applyNumberFormat="1" applyFont="1" applyFill="1" applyBorder="1" applyAlignment="1">
      <alignment horizontal="center"/>
    </xf>
    <xf numFmtId="9" fontId="1" fillId="2" borderId="31" xfId="0" applyNumberFormat="1" applyFont="1" applyFill="1" applyBorder="1" applyAlignment="1">
      <alignment horizontal="center"/>
    </xf>
    <xf numFmtId="9" fontId="1" fillId="2" borderId="28" xfId="0" applyNumberFormat="1" applyFont="1" applyFill="1" applyBorder="1" applyAlignment="1">
      <alignment horizontal="center"/>
    </xf>
    <xf numFmtId="9" fontId="4" fillId="2" borderId="28" xfId="0" applyNumberFormat="1" applyFont="1" applyFill="1" applyBorder="1" applyAlignment="1">
      <alignment horizontal="center"/>
    </xf>
    <xf numFmtId="164" fontId="1" fillId="2" borderId="32" xfId="0" applyNumberFormat="1" applyFont="1" applyFill="1" applyBorder="1" applyAlignment="1">
      <alignment horizontal="center" wrapText="1"/>
    </xf>
    <xf numFmtId="0" fontId="1" fillId="2" borderId="33" xfId="0" applyFont="1" applyFill="1" applyBorder="1" applyAlignment="1">
      <alignment horizontal="center" wrapText="1"/>
    </xf>
    <xf numFmtId="164" fontId="1" fillId="2" borderId="18" xfId="0" applyNumberFormat="1" applyFont="1" applyFill="1" applyBorder="1" applyAlignment="1">
      <alignment horizontal="center" wrapText="1"/>
    </xf>
    <xf numFmtId="164" fontId="4" fillId="2" borderId="6" xfId="0" applyNumberFormat="1"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0" borderId="2" xfId="0" applyFont="1" applyBorder="1" applyAlignment="1">
      <alignment horizontal="center" vertical="center" wrapText="1"/>
    </xf>
    <xf numFmtId="0" fontId="4" fillId="0" borderId="0" xfId="0" applyFont="1" applyBorder="1" applyAlignment="1">
      <alignment horizontal="center" vertical="center" wrapText="1"/>
    </xf>
    <xf numFmtId="0" fontId="4" fillId="0" borderId="1" xfId="0" applyFont="1" applyBorder="1" applyAlignment="1">
      <alignment horizontal="center" vertical="center" wrapText="1"/>
    </xf>
    <xf numFmtId="6" fontId="2" fillId="0" borderId="3" xfId="0" applyNumberFormat="1" applyFont="1" applyFill="1" applyBorder="1" applyAlignment="1">
      <alignment horizontal="center" wrapText="1"/>
    </xf>
    <xf numFmtId="6" fontId="2" fillId="0" borderId="4" xfId="0" applyNumberFormat="1" applyFont="1" applyFill="1" applyBorder="1" applyAlignment="1">
      <alignment horizontal="center" wrapText="1"/>
    </xf>
    <xf numFmtId="6" fontId="2" fillId="0" borderId="5" xfId="0" applyNumberFormat="1" applyFont="1" applyFill="1" applyBorder="1" applyAlignment="1">
      <alignment horizontal="center" wrapText="1"/>
    </xf>
    <xf numFmtId="164" fontId="3" fillId="2" borderId="9" xfId="0" applyNumberFormat="1" applyFont="1" applyFill="1" applyBorder="1" applyAlignment="1">
      <alignment horizontal="left" indent="1"/>
    </xf>
    <xf numFmtId="0" fontId="3" fillId="2" borderId="10" xfId="0" applyFont="1" applyFill="1" applyBorder="1" applyAlignment="1">
      <alignment horizontal="left" indent="1"/>
    </xf>
    <xf numFmtId="6" fontId="7" fillId="2" borderId="66" xfId="0" applyNumberFormat="1" applyFont="1" applyFill="1" applyBorder="1" applyAlignment="1">
      <alignment horizontal="center"/>
    </xf>
    <xf numFmtId="6" fontId="7" fillId="2" borderId="56" xfId="0" applyNumberFormat="1" applyFont="1" applyFill="1" applyBorder="1" applyAlignment="1">
      <alignment horizontal="center"/>
    </xf>
    <xf numFmtId="6" fontId="7" fillId="2" borderId="67" xfId="0" applyNumberFormat="1" applyFont="1" applyFill="1" applyBorder="1" applyAlignment="1">
      <alignment horizontal="center"/>
    </xf>
    <xf numFmtId="0" fontId="1" fillId="2" borderId="16" xfId="0" applyFont="1" applyFill="1" applyBorder="1" applyAlignment="1">
      <alignment horizontal="left" vertical="center" indent="1"/>
    </xf>
    <xf numFmtId="0" fontId="1" fillId="2" borderId="17" xfId="0" applyFont="1" applyFill="1" applyBorder="1" applyAlignment="1">
      <alignment horizontal="left" vertical="center" indent="1"/>
    </xf>
    <xf numFmtId="0" fontId="1" fillId="2" borderId="29" xfId="0" applyFont="1" applyFill="1" applyBorder="1" applyAlignment="1">
      <alignment horizontal="left" vertical="center" indent="1"/>
    </xf>
    <xf numFmtId="0" fontId="1" fillId="2" borderId="30" xfId="0" applyFont="1" applyFill="1" applyBorder="1" applyAlignment="1">
      <alignment horizontal="left" vertical="center" indent="1"/>
    </xf>
    <xf numFmtId="6" fontId="7" fillId="2" borderId="61" xfId="0" applyNumberFormat="1" applyFont="1" applyFill="1" applyBorder="1" applyAlignment="1">
      <alignment horizontal="center"/>
    </xf>
    <xf numFmtId="6" fontId="7" fillId="2" borderId="17" xfId="0" applyNumberFormat="1" applyFont="1" applyFill="1" applyBorder="1" applyAlignment="1">
      <alignment horizontal="center"/>
    </xf>
    <xf numFmtId="6" fontId="7" fillId="2" borderId="62" xfId="0" applyNumberFormat="1" applyFont="1" applyFill="1" applyBorder="1" applyAlignment="1">
      <alignment horizontal="center"/>
    </xf>
    <xf numFmtId="9" fontId="7" fillId="2" borderId="60" xfId="0" applyNumberFormat="1" applyFont="1" applyFill="1" applyBorder="1" applyAlignment="1">
      <alignment horizontal="center"/>
    </xf>
    <xf numFmtId="9" fontId="7" fillId="2" borderId="30" xfId="0" applyNumberFormat="1" applyFont="1" applyFill="1" applyBorder="1" applyAlignment="1">
      <alignment horizontal="center"/>
    </xf>
    <xf numFmtId="9" fontId="7" fillId="2" borderId="58" xfId="0" applyNumberFormat="1" applyFont="1" applyFill="1" applyBorder="1" applyAlignment="1">
      <alignment horizontal="center"/>
    </xf>
    <xf numFmtId="0" fontId="1" fillId="2" borderId="2" xfId="0" applyFont="1" applyFill="1" applyBorder="1" applyAlignment="1">
      <alignment horizontal="left" vertical="center" indent="1"/>
    </xf>
    <xf numFmtId="0" fontId="1" fillId="2" borderId="0" xfId="0" applyFont="1" applyFill="1" applyBorder="1" applyAlignment="1">
      <alignment horizontal="left" vertical="center"/>
    </xf>
    <xf numFmtId="0" fontId="1" fillId="2" borderId="9" xfId="0" applyFont="1" applyFill="1" applyBorder="1" applyAlignment="1">
      <alignment horizontal="left" vertical="center"/>
    </xf>
    <xf numFmtId="0" fontId="1" fillId="2" borderId="10" xfId="0" applyFont="1" applyFill="1" applyBorder="1" applyAlignment="1">
      <alignment horizontal="left" vertical="center"/>
    </xf>
    <xf numFmtId="6" fontId="4" fillId="2" borderId="42" xfId="0" applyNumberFormat="1" applyFont="1" applyFill="1" applyBorder="1" applyAlignment="1">
      <alignment horizontal="center"/>
    </xf>
    <xf numFmtId="6" fontId="4" fillId="2" borderId="44" xfId="0" applyNumberFormat="1" applyFont="1" applyFill="1" applyBorder="1" applyAlignment="1">
      <alignment horizontal="center"/>
    </xf>
    <xf numFmtId="6" fontId="4" fillId="2" borderId="43" xfId="0" applyNumberFormat="1" applyFont="1" applyFill="1" applyBorder="1" applyAlignment="1">
      <alignment horizontal="center"/>
    </xf>
    <xf numFmtId="0" fontId="3" fillId="2" borderId="4" xfId="0" applyFont="1" applyFill="1" applyBorder="1" applyAlignment="1">
      <alignment horizontal="left" indent="1"/>
    </xf>
    <xf numFmtId="6" fontId="7" fillId="2" borderId="63" xfId="0" applyNumberFormat="1" applyFont="1" applyFill="1" applyBorder="1" applyAlignment="1">
      <alignment horizontal="center"/>
    </xf>
    <xf numFmtId="6" fontId="7" fillId="2" borderId="64" xfId="0" applyNumberFormat="1" applyFont="1" applyFill="1" applyBorder="1" applyAlignment="1">
      <alignment horizontal="center"/>
    </xf>
    <xf numFmtId="6" fontId="7" fillId="2" borderId="65" xfId="0" applyNumberFormat="1" applyFont="1" applyFill="1" applyBorder="1" applyAlignment="1">
      <alignment horizontal="center"/>
    </xf>
    <xf numFmtId="0" fontId="1" fillId="5" borderId="16" xfId="0" applyFont="1" applyFill="1" applyBorder="1" applyAlignment="1">
      <alignment horizontal="left" vertical="center" indent="1"/>
    </xf>
    <xf numFmtId="0" fontId="1" fillId="5" borderId="17" xfId="0" applyFont="1" applyFill="1" applyBorder="1" applyAlignment="1">
      <alignment horizontal="left" vertical="center" indent="1"/>
    </xf>
    <xf numFmtId="0" fontId="1" fillId="5" borderId="29" xfId="0" applyFont="1" applyFill="1" applyBorder="1" applyAlignment="1">
      <alignment horizontal="left" vertical="center" indent="1"/>
    </xf>
    <xf numFmtId="0" fontId="1" fillId="5" borderId="30" xfId="0" applyFont="1" applyFill="1" applyBorder="1" applyAlignment="1">
      <alignment horizontal="left" vertical="center" indent="1"/>
    </xf>
    <xf numFmtId="6" fontId="7" fillId="5" borderId="61" xfId="0" applyNumberFormat="1" applyFont="1" applyFill="1" applyBorder="1" applyAlignment="1">
      <alignment horizontal="center"/>
    </xf>
    <xf numFmtId="6" fontId="7" fillId="5" borderId="17" xfId="0" applyNumberFormat="1" applyFont="1" applyFill="1" applyBorder="1" applyAlignment="1">
      <alignment horizontal="center"/>
    </xf>
    <xf numFmtId="6" fontId="7" fillId="5" borderId="62" xfId="0" applyNumberFormat="1" applyFont="1" applyFill="1" applyBorder="1" applyAlignment="1">
      <alignment horizontal="center"/>
    </xf>
    <xf numFmtId="9" fontId="7" fillId="5" borderId="60" xfId="0" applyNumberFormat="1" applyFont="1" applyFill="1" applyBorder="1" applyAlignment="1">
      <alignment horizontal="center"/>
    </xf>
    <xf numFmtId="9" fontId="7" fillId="5" borderId="30" xfId="0" applyNumberFormat="1" applyFont="1" applyFill="1" applyBorder="1" applyAlignment="1">
      <alignment horizontal="center"/>
    </xf>
    <xf numFmtId="9" fontId="7" fillId="5" borderId="58" xfId="0" applyNumberFormat="1" applyFont="1" applyFill="1" applyBorder="1" applyAlignment="1">
      <alignment horizontal="center"/>
    </xf>
    <xf numFmtId="9" fontId="1" fillId="5" borderId="30" xfId="0" applyNumberFormat="1" applyFont="1" applyFill="1" applyBorder="1" applyAlignment="1">
      <alignment horizontal="center"/>
    </xf>
    <xf numFmtId="9" fontId="1" fillId="5" borderId="31" xfId="0" applyNumberFormat="1" applyFont="1" applyFill="1" applyBorder="1" applyAlignment="1">
      <alignment horizontal="center"/>
    </xf>
    <xf numFmtId="0" fontId="1" fillId="2" borderId="13" xfId="0" applyFont="1" applyFill="1" applyBorder="1" applyAlignment="1">
      <alignment horizontal="right" vertical="center" indent="1"/>
    </xf>
    <xf numFmtId="0" fontId="0" fillId="0" borderId="75" xfId="0" applyBorder="1" applyAlignment="1">
      <alignment horizontal="right" vertical="center" indent="1"/>
    </xf>
    <xf numFmtId="0" fontId="0" fillId="0" borderId="14" xfId="0" applyBorder="1" applyAlignment="1">
      <alignment horizontal="right" vertical="center" indent="1"/>
    </xf>
    <xf numFmtId="0" fontId="1" fillId="4" borderId="6" xfId="0" applyFont="1" applyFill="1" applyBorder="1" applyAlignment="1">
      <alignment horizontal="center"/>
    </xf>
    <xf numFmtId="0" fontId="1" fillId="4" borderId="7" xfId="0" applyFont="1" applyFill="1" applyBorder="1" applyAlignment="1">
      <alignment horizontal="center"/>
    </xf>
    <xf numFmtId="0" fontId="1" fillId="4" borderId="8" xfId="0" applyFont="1" applyFill="1" applyBorder="1" applyAlignment="1">
      <alignment horizontal="center"/>
    </xf>
    <xf numFmtId="10" fontId="3" fillId="2" borderId="3" xfId="0" applyNumberFormat="1" applyFont="1" applyFill="1" applyBorder="1" applyAlignment="1">
      <alignment horizontal="center" wrapText="1"/>
    </xf>
    <xf numFmtId="10" fontId="3" fillId="2" borderId="4" xfId="0" applyNumberFormat="1" applyFont="1" applyFill="1" applyBorder="1" applyAlignment="1">
      <alignment horizontal="center" wrapText="1"/>
    </xf>
    <xf numFmtId="0" fontId="3" fillId="2" borderId="4" xfId="0" applyFont="1" applyFill="1" applyBorder="1" applyAlignment="1">
      <alignment horizontal="center" wrapText="1"/>
    </xf>
    <xf numFmtId="0" fontId="3" fillId="2" borderId="5" xfId="0" applyFont="1" applyFill="1" applyBorder="1" applyAlignment="1">
      <alignment horizontal="center" wrapText="1"/>
    </xf>
    <xf numFmtId="10" fontId="1" fillId="4" borderId="2" xfId="0" applyNumberFormat="1" applyFont="1" applyFill="1" applyBorder="1" applyAlignment="1">
      <alignment horizontal="center"/>
    </xf>
    <xf numFmtId="0" fontId="1" fillId="4" borderId="0" xfId="0" applyFont="1" applyFill="1" applyBorder="1" applyAlignment="1">
      <alignment horizontal="center"/>
    </xf>
    <xf numFmtId="0" fontId="1" fillId="4" borderId="1" xfId="0" applyFont="1" applyFill="1" applyBorder="1" applyAlignment="1">
      <alignment horizontal="center"/>
    </xf>
    <xf numFmtId="10" fontId="4" fillId="2" borderId="3" xfId="0" applyNumberFormat="1" applyFont="1" applyFill="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wrapText="1"/>
    </xf>
    <xf numFmtId="6" fontId="1" fillId="2" borderId="16" xfId="0" applyNumberFormat="1" applyFont="1" applyFill="1" applyBorder="1" applyAlignment="1">
      <alignment horizontal="center" wrapText="1"/>
    </xf>
    <xf numFmtId="6" fontId="1" fillId="2" borderId="17" xfId="0" applyNumberFormat="1" applyFont="1" applyFill="1" applyBorder="1" applyAlignment="1">
      <alignment horizontal="center" wrapText="1"/>
    </xf>
    <xf numFmtId="6" fontId="1" fillId="2" borderId="19" xfId="0" applyNumberFormat="1" applyFont="1" applyFill="1" applyBorder="1" applyAlignment="1">
      <alignment horizontal="center" wrapText="1"/>
    </xf>
    <xf numFmtId="6" fontId="4" fillId="2" borderId="16" xfId="0" applyNumberFormat="1" applyFont="1" applyFill="1" applyBorder="1" applyAlignment="1">
      <alignment horizontal="center" wrapText="1"/>
    </xf>
    <xf numFmtId="6" fontId="4" fillId="2" borderId="17" xfId="0" applyNumberFormat="1" applyFont="1" applyFill="1" applyBorder="1" applyAlignment="1">
      <alignment horizontal="center" wrapText="1"/>
    </xf>
    <xf numFmtId="6" fontId="4" fillId="2" borderId="19" xfId="0" applyNumberFormat="1" applyFont="1" applyFill="1" applyBorder="1" applyAlignment="1">
      <alignment horizontal="center" wrapText="1"/>
    </xf>
    <xf numFmtId="0" fontId="1" fillId="2" borderId="3" xfId="0" applyFont="1" applyFill="1" applyBorder="1" applyAlignment="1">
      <alignment horizontal="center"/>
    </xf>
    <xf numFmtId="0" fontId="1" fillId="0" borderId="4" xfId="0" applyFont="1" applyBorder="1" applyAlignment="1">
      <alignment horizontal="center"/>
    </xf>
    <xf numFmtId="0" fontId="1" fillId="0" borderId="5" xfId="0" applyFont="1" applyBorder="1" applyAlignment="1">
      <alignment horizontal="center"/>
    </xf>
    <xf numFmtId="164" fontId="5" fillId="2" borderId="3" xfId="0" applyNumberFormat="1" applyFont="1" applyFill="1" applyBorder="1" applyAlignment="1"/>
    <xf numFmtId="0" fontId="5" fillId="0" borderId="4" xfId="0" applyFont="1" applyBorder="1" applyAlignment="1"/>
    <xf numFmtId="0" fontId="5" fillId="0" borderId="5" xfId="0" applyFont="1" applyBorder="1" applyAlignment="1"/>
    <xf numFmtId="164" fontId="1" fillId="2" borderId="38" xfId="0" applyNumberFormat="1" applyFont="1" applyFill="1" applyBorder="1" applyAlignment="1">
      <alignment horizontal="center" vertical="center" wrapText="1"/>
    </xf>
    <xf numFmtId="0" fontId="1" fillId="2" borderId="40" xfId="0" applyFont="1" applyFill="1" applyBorder="1" applyAlignment="1">
      <alignment horizontal="center" vertical="center" wrapText="1"/>
    </xf>
    <xf numFmtId="0" fontId="1" fillId="2" borderId="50" xfId="0" applyFont="1" applyFill="1" applyBorder="1" applyAlignment="1">
      <alignment horizontal="center" vertical="center" wrapText="1"/>
    </xf>
    <xf numFmtId="168" fontId="1" fillId="2" borderId="76" xfId="0" applyNumberFormat="1" applyFont="1" applyFill="1" applyBorder="1" applyAlignment="1">
      <alignment horizontal="center" vertical="center" wrapText="1"/>
    </xf>
    <xf numFmtId="0" fontId="1" fillId="2" borderId="49" xfId="0" applyFont="1" applyFill="1" applyBorder="1" applyAlignment="1">
      <alignment horizontal="center" vertical="center" wrapText="1"/>
    </xf>
    <xf numFmtId="0" fontId="1" fillId="2" borderId="51" xfId="0" applyFont="1" applyFill="1" applyBorder="1" applyAlignment="1">
      <alignment horizontal="center" vertical="center" wrapText="1"/>
    </xf>
    <xf numFmtId="168" fontId="1" fillId="3" borderId="39" xfId="0" applyNumberFormat="1" applyFont="1" applyFill="1" applyBorder="1" applyAlignment="1">
      <alignment horizontal="center" vertical="center" wrapText="1"/>
    </xf>
    <xf numFmtId="0" fontId="1" fillId="3" borderId="41" xfId="0" applyFont="1" applyFill="1" applyBorder="1" applyAlignment="1">
      <alignment horizontal="center" vertical="center" wrapText="1"/>
    </xf>
    <xf numFmtId="0" fontId="1" fillId="3" borderId="52" xfId="0" applyFont="1" applyFill="1" applyBorder="1" applyAlignment="1">
      <alignment horizontal="center" vertical="center" wrapText="1"/>
    </xf>
    <xf numFmtId="168" fontId="1" fillId="3" borderId="33" xfId="0" applyNumberFormat="1" applyFont="1" applyFill="1" applyBorder="1" applyAlignment="1">
      <alignment vertical="center"/>
    </xf>
    <xf numFmtId="0" fontId="1" fillId="3" borderId="37" xfId="0" applyFont="1" applyFill="1" applyBorder="1" applyAlignment="1">
      <alignment vertical="center"/>
    </xf>
    <xf numFmtId="0" fontId="1" fillId="3" borderId="35" xfId="0" applyFont="1" applyFill="1" applyBorder="1" applyAlignment="1">
      <alignment vertical="center"/>
    </xf>
    <xf numFmtId="168" fontId="1" fillId="2" borderId="33" xfId="0" applyNumberFormat="1" applyFont="1" applyFill="1" applyBorder="1" applyAlignment="1">
      <alignment vertical="center"/>
    </xf>
    <xf numFmtId="0" fontId="1" fillId="2" borderId="37" xfId="0" applyFont="1" applyFill="1" applyBorder="1" applyAlignment="1">
      <alignment vertical="center"/>
    </xf>
    <xf numFmtId="0" fontId="1" fillId="2" borderId="35" xfId="0" applyFont="1" applyFill="1" applyBorder="1" applyAlignment="1">
      <alignment vertical="center"/>
    </xf>
    <xf numFmtId="164" fontId="3" fillId="2" borderId="18" xfId="0" applyNumberFormat="1" applyFont="1" applyFill="1" applyBorder="1" applyAlignment="1">
      <alignment horizontal="center" vertical="center" wrapText="1"/>
    </xf>
    <xf numFmtId="0" fontId="3" fillId="0" borderId="70" xfId="0" applyFont="1" applyBorder="1" applyAlignment="1">
      <alignment horizontal="center" vertical="center" wrapText="1"/>
    </xf>
    <xf numFmtId="0" fontId="3" fillId="0" borderId="71" xfId="0" applyFont="1" applyBorder="1" applyAlignment="1">
      <alignment horizontal="center" vertical="center" wrapText="1"/>
    </xf>
    <xf numFmtId="168" fontId="1" fillId="2" borderId="32" xfId="0" applyNumberFormat="1" applyFont="1" applyFill="1" applyBorder="1" applyAlignment="1">
      <alignment vertical="center"/>
    </xf>
    <xf numFmtId="0" fontId="1" fillId="2" borderId="36" xfId="0" applyFont="1" applyFill="1" applyBorder="1" applyAlignment="1">
      <alignment vertical="center"/>
    </xf>
    <xf numFmtId="0" fontId="1" fillId="2" borderId="34" xfId="0" applyFont="1" applyFill="1" applyBorder="1" applyAlignment="1">
      <alignment vertical="center"/>
    </xf>
    <xf numFmtId="168" fontId="3" fillId="2" borderId="16" xfId="0" applyNumberFormat="1" applyFont="1" applyFill="1" applyBorder="1" applyAlignment="1">
      <alignment horizontal="center"/>
    </xf>
    <xf numFmtId="0" fontId="1" fillId="0" borderId="17" xfId="0" applyFont="1" applyBorder="1" applyAlignment="1">
      <alignment horizontal="center"/>
    </xf>
    <xf numFmtId="0" fontId="1" fillId="0" borderId="19" xfId="0" applyFont="1" applyBorder="1" applyAlignment="1">
      <alignment horizontal="center"/>
    </xf>
    <xf numFmtId="168" fontId="1" fillId="2" borderId="39" xfId="0" applyNumberFormat="1" applyFont="1" applyFill="1" applyBorder="1" applyAlignment="1">
      <alignment horizontal="center" vertical="center" wrapText="1"/>
    </xf>
    <xf numFmtId="0" fontId="1" fillId="0" borderId="41" xfId="0" applyFont="1" applyBorder="1" applyAlignment="1">
      <alignment horizontal="center" vertical="center" wrapText="1"/>
    </xf>
    <xf numFmtId="0" fontId="1" fillId="0" borderId="52" xfId="0" applyFont="1" applyBorder="1" applyAlignment="1">
      <alignment horizontal="center" vertical="center" wrapText="1"/>
    </xf>
    <xf numFmtId="168" fontId="1" fillId="2" borderId="38" xfId="0" applyNumberFormat="1" applyFont="1" applyFill="1" applyBorder="1" applyAlignment="1">
      <alignment horizontal="center" vertical="center" wrapText="1"/>
    </xf>
    <xf numFmtId="0" fontId="1" fillId="0" borderId="40" xfId="0" applyFont="1" applyBorder="1" applyAlignment="1">
      <alignment horizontal="center" vertical="center" wrapText="1"/>
    </xf>
    <xf numFmtId="0" fontId="1" fillId="0" borderId="50" xfId="0" applyFont="1" applyBorder="1" applyAlignment="1">
      <alignment horizontal="center" vertical="center" wrapText="1"/>
    </xf>
    <xf numFmtId="0" fontId="1" fillId="0" borderId="49" xfId="0" applyFont="1" applyBorder="1" applyAlignment="1">
      <alignment horizontal="center" vertical="center" wrapText="1"/>
    </xf>
    <xf numFmtId="0" fontId="1" fillId="0" borderId="51" xfId="0" applyFont="1" applyBorder="1" applyAlignment="1">
      <alignment horizontal="center" vertical="center" wrapText="1"/>
    </xf>
    <xf numFmtId="164" fontId="1" fillId="2" borderId="36" xfId="0" applyNumberFormat="1" applyFont="1" applyFill="1" applyBorder="1" applyAlignment="1">
      <alignment horizontal="center" vertical="center" wrapText="1"/>
    </xf>
    <xf numFmtId="0" fontId="1" fillId="2" borderId="54" xfId="0" applyFont="1" applyFill="1" applyBorder="1" applyAlignment="1">
      <alignment horizontal="center" vertical="center" wrapText="1"/>
    </xf>
    <xf numFmtId="0" fontId="1" fillId="2" borderId="37" xfId="0" applyFont="1" applyFill="1" applyBorder="1" applyAlignment="1">
      <alignment horizontal="center" vertical="center" wrapText="1"/>
    </xf>
    <xf numFmtId="168" fontId="1" fillId="2" borderId="68" xfId="0" applyNumberFormat="1" applyFont="1" applyFill="1" applyBorder="1" applyAlignment="1">
      <alignment vertical="center"/>
    </xf>
    <xf numFmtId="0" fontId="3" fillId="0" borderId="77" xfId="0" applyFont="1" applyBorder="1" applyAlignment="1">
      <alignment horizontal="center" vertical="center" wrapText="1"/>
    </xf>
    <xf numFmtId="0" fontId="1" fillId="2" borderId="41" xfId="0" applyFont="1" applyFill="1" applyBorder="1" applyAlignment="1">
      <alignment horizontal="center" vertical="center" wrapText="1"/>
    </xf>
    <xf numFmtId="164" fontId="3" fillId="2" borderId="46" xfId="0" applyNumberFormat="1" applyFont="1" applyFill="1" applyBorder="1" applyAlignment="1">
      <alignment horizontal="center" vertical="center" wrapText="1"/>
    </xf>
    <xf numFmtId="0" fontId="3" fillId="0" borderId="46" xfId="0" applyFont="1" applyBorder="1" applyAlignment="1">
      <alignment horizontal="center" vertical="center" wrapText="1"/>
    </xf>
    <xf numFmtId="168" fontId="1" fillId="2" borderId="57" xfId="0" applyNumberFormat="1" applyFont="1" applyFill="1" applyBorder="1" applyAlignment="1">
      <alignment vertical="center"/>
    </xf>
    <xf numFmtId="0" fontId="1" fillId="2" borderId="41" xfId="0" applyFont="1" applyFill="1" applyBorder="1" applyAlignment="1">
      <alignment vertical="center"/>
    </xf>
    <xf numFmtId="0" fontId="1" fillId="2" borderId="52" xfId="0" applyFont="1" applyFill="1" applyBorder="1" applyAlignment="1">
      <alignment vertical="center"/>
    </xf>
    <xf numFmtId="0" fontId="7" fillId="2" borderId="6" xfId="1" applyFont="1" applyFill="1" applyBorder="1" applyAlignment="1">
      <alignment horizontal="center" vertical="center" wrapText="1"/>
    </xf>
    <xf numFmtId="0" fontId="3" fillId="0" borderId="89" xfId="0" applyFont="1" applyBorder="1" applyAlignment="1">
      <alignment horizontal="center" vertical="center" wrapText="1"/>
    </xf>
    <xf numFmtId="0" fontId="3" fillId="0" borderId="2" xfId="0" applyFont="1" applyBorder="1" applyAlignment="1">
      <alignment horizontal="center" vertical="center" wrapText="1"/>
    </xf>
    <xf numFmtId="0" fontId="3" fillId="0" borderId="74" xfId="0" applyFont="1" applyBorder="1" applyAlignment="1">
      <alignment horizontal="center" vertical="center" wrapText="1"/>
    </xf>
    <xf numFmtId="0" fontId="3" fillId="0" borderId="9" xfId="0" applyFont="1" applyBorder="1" applyAlignment="1">
      <alignment horizontal="center" vertical="center" wrapText="1"/>
    </xf>
    <xf numFmtId="0" fontId="3" fillId="0" borderId="73" xfId="0" applyFont="1" applyBorder="1" applyAlignment="1">
      <alignment horizontal="center" vertical="center" wrapText="1"/>
    </xf>
    <xf numFmtId="0" fontId="3" fillId="2" borderId="16" xfId="0" applyFont="1" applyFill="1" applyBorder="1" applyAlignment="1">
      <alignment horizontal="center"/>
    </xf>
    <xf numFmtId="164" fontId="3" fillId="2" borderId="25" xfId="0" applyNumberFormat="1" applyFont="1" applyFill="1" applyBorder="1" applyAlignment="1">
      <alignment horizontal="center" vertical="center" wrapText="1"/>
    </xf>
    <xf numFmtId="0" fontId="1" fillId="0" borderId="77" xfId="0" applyFont="1" applyBorder="1" applyAlignment="1">
      <alignment horizontal="center" vertical="center"/>
    </xf>
    <xf numFmtId="0" fontId="1" fillId="0" borderId="2" xfId="0" applyFont="1" applyBorder="1" applyAlignment="1">
      <alignment horizontal="center" vertical="center"/>
    </xf>
    <xf numFmtId="0" fontId="1" fillId="0" borderId="74" xfId="0" applyFont="1" applyBorder="1" applyAlignment="1">
      <alignment horizontal="center" vertical="center"/>
    </xf>
    <xf numFmtId="0" fontId="1" fillId="0" borderId="9" xfId="0" applyFont="1" applyBorder="1" applyAlignment="1">
      <alignment horizontal="center" vertical="center"/>
    </xf>
    <xf numFmtId="0" fontId="1" fillId="0" borderId="73" xfId="0" applyFont="1" applyBorder="1" applyAlignment="1">
      <alignment horizontal="center" vertical="center"/>
    </xf>
    <xf numFmtId="164" fontId="3" fillId="2" borderId="3" xfId="0" applyNumberFormat="1" applyFont="1" applyFill="1" applyBorder="1" applyAlignment="1"/>
    <xf numFmtId="0" fontId="1" fillId="0" borderId="4" xfId="0" applyFont="1" applyBorder="1" applyAlignment="1"/>
    <xf numFmtId="0" fontId="1" fillId="0" borderId="5" xfId="0" applyFont="1" applyBorder="1" applyAlignment="1"/>
    <xf numFmtId="0" fontId="1" fillId="0" borderId="10" xfId="0" applyFont="1" applyBorder="1" applyAlignment="1"/>
    <xf numFmtId="0" fontId="3" fillId="2" borderId="48" xfId="0" applyFont="1" applyFill="1" applyBorder="1" applyAlignment="1">
      <alignment horizontal="center" vertical="center" textRotation="90"/>
    </xf>
    <xf numFmtId="0" fontId="1" fillId="0" borderId="40" xfId="0" applyFont="1" applyBorder="1" applyAlignment="1">
      <alignment horizontal="center" vertical="center" textRotation="90"/>
    </xf>
    <xf numFmtId="0" fontId="1" fillId="0" borderId="50" xfId="0" applyFont="1" applyBorder="1" applyAlignment="1">
      <alignment horizontal="center" vertical="center" textRotation="90"/>
    </xf>
    <xf numFmtId="165" fontId="3" fillId="2" borderId="48" xfId="0" applyNumberFormat="1" applyFont="1" applyFill="1" applyBorder="1" applyAlignment="1">
      <alignment horizontal="center" vertical="center" textRotation="90"/>
    </xf>
    <xf numFmtId="0" fontId="3" fillId="2" borderId="3" xfId="0" applyFont="1" applyFill="1" applyBorder="1" applyAlignment="1"/>
    <xf numFmtId="0" fontId="3" fillId="2" borderId="4" xfId="0" applyFont="1" applyFill="1" applyBorder="1" applyAlignment="1"/>
    <xf numFmtId="0" fontId="3" fillId="2" borderId="5" xfId="0" applyFont="1" applyFill="1" applyBorder="1" applyAlignment="1"/>
    <xf numFmtId="168" fontId="1" fillId="2" borderId="79" xfId="0" applyNumberFormat="1" applyFont="1" applyFill="1" applyBorder="1" applyAlignment="1">
      <alignment horizontal="center" vertical="center" wrapText="1"/>
    </xf>
    <xf numFmtId="0" fontId="1" fillId="0" borderId="80" xfId="0" applyFont="1" applyBorder="1" applyAlignment="1">
      <alignment horizontal="center" vertical="center" wrapText="1"/>
    </xf>
    <xf numFmtId="0" fontId="1" fillId="0" borderId="81" xfId="0" applyFont="1" applyBorder="1" applyAlignment="1">
      <alignment horizontal="center" vertical="center" wrapText="1"/>
    </xf>
    <xf numFmtId="168" fontId="1" fillId="2" borderId="69" xfId="0" applyNumberFormat="1" applyFont="1" applyFill="1" applyBorder="1" applyAlignment="1">
      <alignment vertical="center"/>
    </xf>
    <xf numFmtId="168" fontId="4" fillId="2" borderId="57" xfId="0" applyNumberFormat="1" applyFont="1" applyFill="1" applyBorder="1" applyAlignment="1" applyProtection="1">
      <alignment vertical="center"/>
    </xf>
    <xf numFmtId="0" fontId="1" fillId="0" borderId="41" xfId="0" applyFont="1" applyBorder="1" applyAlignment="1">
      <alignment vertical="center"/>
    </xf>
    <xf numFmtId="0" fontId="1" fillId="0" borderId="52" xfId="0" applyFont="1" applyBorder="1" applyAlignment="1">
      <alignment vertical="center"/>
    </xf>
    <xf numFmtId="10" fontId="1" fillId="2" borderId="57" xfId="0" applyNumberFormat="1" applyFont="1" applyFill="1" applyBorder="1" applyAlignment="1">
      <alignment horizontal="center" vertical="center"/>
    </xf>
    <xf numFmtId="0" fontId="1" fillId="2" borderId="41" xfId="0" applyFont="1" applyFill="1" applyBorder="1" applyAlignment="1">
      <alignment horizontal="center" vertical="center"/>
    </xf>
    <xf numFmtId="0" fontId="1" fillId="2" borderId="52" xfId="0" applyFont="1" applyFill="1" applyBorder="1" applyAlignment="1">
      <alignment horizontal="center" vertical="center"/>
    </xf>
    <xf numFmtId="4" fontId="1" fillId="2" borderId="87" xfId="0" applyNumberFormat="1" applyFont="1" applyFill="1" applyBorder="1" applyAlignment="1">
      <alignment horizontal="center" vertical="center"/>
    </xf>
    <xf numFmtId="0" fontId="1" fillId="0" borderId="49" xfId="0" applyFont="1" applyBorder="1" applyAlignment="1">
      <alignment horizontal="center" vertical="center"/>
    </xf>
    <xf numFmtId="0" fontId="1" fillId="0" borderId="51" xfId="0" applyFont="1" applyBorder="1" applyAlignment="1">
      <alignment horizontal="center" vertical="center"/>
    </xf>
    <xf numFmtId="165" fontId="1" fillId="2" borderId="87" xfId="0" applyNumberFormat="1" applyFont="1" applyFill="1" applyBorder="1" applyAlignment="1">
      <alignment horizontal="center" vertical="center"/>
    </xf>
    <xf numFmtId="164" fontId="1" fillId="2" borderId="87" xfId="0" applyNumberFormat="1" applyFont="1" applyFill="1" applyBorder="1" applyAlignment="1">
      <alignment horizontal="center" vertical="center"/>
    </xf>
    <xf numFmtId="4" fontId="1" fillId="2" borderId="88" xfId="0" applyNumberFormat="1" applyFont="1" applyFill="1" applyBorder="1" applyAlignment="1">
      <alignment horizontal="center" vertical="center"/>
    </xf>
    <xf numFmtId="0" fontId="1" fillId="0" borderId="81" xfId="0" applyFont="1" applyBorder="1" applyAlignment="1">
      <alignment horizontal="center" vertical="center"/>
    </xf>
    <xf numFmtId="0" fontId="1" fillId="0" borderId="80" xfId="0" applyFont="1" applyBorder="1" applyAlignment="1">
      <alignment horizontal="center" vertical="center"/>
    </xf>
    <xf numFmtId="164" fontId="3" fillId="3" borderId="13" xfId="0" applyNumberFormat="1" applyFont="1" applyFill="1" applyBorder="1" applyAlignment="1">
      <alignment horizontal="center" vertical="center"/>
    </xf>
    <xf numFmtId="0" fontId="1" fillId="0" borderId="14" xfId="0" applyFont="1" applyBorder="1" applyAlignment="1">
      <alignment horizontal="center" vertical="center"/>
    </xf>
    <xf numFmtId="0" fontId="1" fillId="0" borderId="75" xfId="0" applyFont="1" applyBorder="1" applyAlignment="1">
      <alignment horizontal="center" vertical="center"/>
    </xf>
    <xf numFmtId="168" fontId="1" fillId="2" borderId="87" xfId="0" applyNumberFormat="1" applyFont="1" applyFill="1" applyBorder="1" applyAlignment="1">
      <alignment horizontal="center" vertical="center" wrapText="1"/>
    </xf>
    <xf numFmtId="164" fontId="1" fillId="2" borderId="87" xfId="0" applyNumberFormat="1" applyFont="1" applyFill="1" applyBorder="1" applyAlignment="1">
      <alignment horizontal="center" vertical="center" wrapText="1"/>
    </xf>
    <xf numFmtId="10" fontId="1" fillId="2" borderId="52" xfId="0" applyNumberFormat="1" applyFont="1" applyFill="1" applyBorder="1" applyAlignment="1">
      <alignment horizontal="center" vertical="center"/>
    </xf>
    <xf numFmtId="168" fontId="3" fillId="2" borderId="3" xfId="0" applyNumberFormat="1" applyFont="1" applyFill="1" applyBorder="1" applyAlignment="1">
      <alignment horizontal="center" vertical="center" wrapText="1"/>
    </xf>
    <xf numFmtId="0" fontId="1" fillId="0" borderId="72" xfId="0" applyFont="1" applyBorder="1" applyAlignment="1">
      <alignment horizontal="center" vertical="center" wrapText="1"/>
    </xf>
    <xf numFmtId="9" fontId="1" fillId="2" borderId="89" xfId="0" applyNumberFormat="1" applyFont="1" applyFill="1" applyBorder="1" applyAlignment="1">
      <alignment horizontal="center" vertical="center"/>
    </xf>
    <xf numFmtId="1" fontId="1" fillId="2" borderId="48" xfId="0" applyNumberFormat="1" applyFont="1" applyFill="1" applyBorder="1" applyAlignment="1">
      <alignment horizontal="center" vertical="center"/>
    </xf>
    <xf numFmtId="0" fontId="1" fillId="2" borderId="40" xfId="0" applyFont="1" applyFill="1" applyBorder="1" applyAlignment="1">
      <alignment horizontal="center" vertical="center"/>
    </xf>
    <xf numFmtId="0" fontId="1" fillId="2" borderId="50" xfId="0" applyFont="1" applyFill="1" applyBorder="1" applyAlignment="1">
      <alignment horizontal="center" vertical="center"/>
    </xf>
    <xf numFmtId="1" fontId="1" fillId="2" borderId="48" xfId="0" applyNumberFormat="1" applyFont="1" applyFill="1" applyBorder="1" applyAlignment="1">
      <alignment horizontal="center" vertical="center" wrapText="1"/>
    </xf>
    <xf numFmtId="0" fontId="4" fillId="5" borderId="6" xfId="0" applyFont="1" applyFill="1" applyBorder="1" applyAlignment="1">
      <alignment vertical="center"/>
    </xf>
    <xf numFmtId="0" fontId="1" fillId="0" borderId="7" xfId="0" applyFont="1" applyBorder="1" applyAlignment="1">
      <alignment vertical="center"/>
    </xf>
    <xf numFmtId="0" fontId="1" fillId="5" borderId="9" xfId="0" applyFont="1" applyFill="1" applyBorder="1" applyAlignment="1">
      <alignment vertical="center"/>
    </xf>
    <xf numFmtId="0" fontId="1" fillId="0" borderId="10" xfId="0" applyFont="1" applyBorder="1" applyAlignment="1">
      <alignment vertical="center"/>
    </xf>
    <xf numFmtId="0" fontId="4" fillId="2" borderId="6" xfId="0" applyFont="1" applyFill="1" applyBorder="1" applyAlignment="1">
      <alignment vertical="center"/>
    </xf>
    <xf numFmtId="0" fontId="1" fillId="0" borderId="9" xfId="0" applyFont="1" applyBorder="1" applyAlignment="1">
      <alignment vertical="center"/>
    </xf>
    <xf numFmtId="164" fontId="4" fillId="2" borderId="3" xfId="0" applyNumberFormat="1" applyFont="1" applyFill="1" applyBorder="1" applyAlignment="1"/>
    <xf numFmtId="164" fontId="3" fillId="5" borderId="3" xfId="0" applyNumberFormat="1" applyFont="1" applyFill="1" applyBorder="1" applyAlignment="1">
      <alignment horizontal="center" wrapText="1"/>
    </xf>
    <xf numFmtId="0" fontId="3" fillId="5" borderId="4" xfId="0" applyFont="1" applyFill="1" applyBorder="1" applyAlignment="1">
      <alignment horizontal="center" wrapText="1"/>
    </xf>
    <xf numFmtId="0" fontId="3" fillId="5" borderId="5" xfId="0" applyFont="1" applyFill="1" applyBorder="1" applyAlignment="1">
      <alignment horizontal="center" wrapText="1"/>
    </xf>
    <xf numFmtId="164" fontId="3" fillId="5" borderId="4" xfId="0" applyNumberFormat="1" applyFont="1" applyFill="1" applyBorder="1" applyAlignment="1">
      <alignment horizontal="center" wrapText="1"/>
    </xf>
    <xf numFmtId="0" fontId="7" fillId="2" borderId="3" xfId="0" applyFont="1" applyFill="1" applyBorder="1" applyAlignment="1"/>
    <xf numFmtId="0" fontId="1" fillId="0" borderId="8" xfId="0" applyFont="1" applyBorder="1" applyAlignment="1">
      <alignment vertical="center"/>
    </xf>
    <xf numFmtId="0" fontId="1" fillId="0" borderId="11" xfId="0" applyFont="1" applyBorder="1" applyAlignment="1">
      <alignment vertical="center"/>
    </xf>
    <xf numFmtId="0" fontId="7" fillId="2" borderId="3" xfId="0" applyFont="1" applyFill="1" applyBorder="1" applyAlignment="1">
      <alignment horizontal="left"/>
    </xf>
    <xf numFmtId="164" fontId="3" fillId="5" borderId="32" xfId="0" applyNumberFormat="1" applyFont="1" applyFill="1" applyBorder="1" applyAlignment="1">
      <alignment horizontal="center" wrapText="1"/>
    </xf>
    <xf numFmtId="0" fontId="3" fillId="5" borderId="33" xfId="0" applyFont="1" applyFill="1" applyBorder="1" applyAlignment="1">
      <alignment horizontal="center" wrapText="1"/>
    </xf>
    <xf numFmtId="164" fontId="3" fillId="5" borderId="18" xfId="0" applyNumberFormat="1" applyFont="1" applyFill="1" applyBorder="1" applyAlignment="1">
      <alignment horizontal="center" wrapText="1"/>
    </xf>
    <xf numFmtId="164" fontId="4" fillId="0" borderId="0" xfId="0" applyNumberFormat="1" applyFont="1" applyFill="1" applyBorder="1" applyAlignment="1">
      <alignment horizontal="left" vertical="center" indent="1"/>
    </xf>
    <xf numFmtId="0" fontId="0" fillId="0" borderId="0" xfId="0" applyAlignment="1">
      <alignment horizontal="left" vertical="center" indent="1"/>
    </xf>
    <xf numFmtId="164" fontId="7" fillId="5" borderId="13" xfId="0" applyNumberFormat="1" applyFont="1" applyFill="1" applyBorder="1" applyAlignment="1">
      <alignment horizontal="center" vertical="center" wrapText="1"/>
    </xf>
    <xf numFmtId="0" fontId="1" fillId="5" borderId="14" xfId="0" applyFont="1" applyFill="1" applyBorder="1" applyAlignment="1">
      <alignment horizontal="center" vertical="center" wrapText="1"/>
    </xf>
    <xf numFmtId="6" fontId="1" fillId="2" borderId="42" xfId="0" applyNumberFormat="1" applyFont="1" applyFill="1" applyBorder="1" applyAlignment="1">
      <alignment horizontal="center" wrapText="1"/>
    </xf>
    <xf numFmtId="6" fontId="1" fillId="2" borderId="44" xfId="0" applyNumberFormat="1" applyFont="1" applyFill="1" applyBorder="1" applyAlignment="1">
      <alignment horizontal="center" wrapText="1"/>
    </xf>
    <xf numFmtId="6" fontId="1" fillId="2" borderId="43" xfId="0" applyNumberFormat="1" applyFont="1" applyFill="1" applyBorder="1" applyAlignment="1">
      <alignment horizontal="center" wrapText="1"/>
    </xf>
    <xf numFmtId="6" fontId="1" fillId="0" borderId="3" xfId="0" applyNumberFormat="1" applyFont="1" applyFill="1" applyBorder="1" applyAlignment="1">
      <alignment horizontal="center" wrapText="1"/>
    </xf>
    <xf numFmtId="6" fontId="1" fillId="0" borderId="4" xfId="0" applyNumberFormat="1" applyFont="1" applyFill="1" applyBorder="1" applyAlignment="1">
      <alignment horizontal="center" wrapText="1"/>
    </xf>
    <xf numFmtId="6" fontId="1" fillId="0" borderId="5" xfId="0" applyNumberFormat="1" applyFont="1" applyFill="1" applyBorder="1" applyAlignment="1">
      <alignment horizontal="center" wrapText="1"/>
    </xf>
    <xf numFmtId="0" fontId="4" fillId="0" borderId="0" xfId="0" quotePrefix="1" applyFont="1" applyFill="1" applyBorder="1" applyAlignment="1"/>
    <xf numFmtId="0" fontId="0" fillId="0" borderId="0" xfId="0" applyAlignment="1"/>
    <xf numFmtId="165" fontId="4" fillId="5" borderId="13" xfId="0" applyNumberFormat="1" applyFont="1" applyFill="1" applyBorder="1" applyAlignment="1">
      <alignment horizontal="right" vertical="center" indent="1"/>
    </xf>
    <xf numFmtId="0" fontId="4" fillId="5" borderId="14" xfId="0" applyFont="1" applyFill="1" applyBorder="1" applyAlignment="1">
      <alignment horizontal="right" vertical="center" indent="1"/>
    </xf>
    <xf numFmtId="166" fontId="4" fillId="2" borderId="13" xfId="0" applyNumberFormat="1" applyFont="1" applyFill="1" applyBorder="1" applyAlignment="1">
      <alignment horizontal="right" vertical="center" indent="1"/>
    </xf>
    <xf numFmtId="0" fontId="1" fillId="0" borderId="14" xfId="0" applyFont="1" applyBorder="1" applyAlignment="1">
      <alignment horizontal="right" vertical="center" indent="1"/>
    </xf>
    <xf numFmtId="0" fontId="7" fillId="5" borderId="13" xfId="0" applyFont="1" applyFill="1" applyBorder="1" applyAlignment="1">
      <alignment horizontal="right" vertical="center" wrapText="1" indent="1"/>
    </xf>
    <xf numFmtId="0" fontId="7" fillId="5" borderId="14" xfId="0" applyFont="1" applyFill="1" applyBorder="1" applyAlignment="1">
      <alignment horizontal="right" vertical="center" wrapText="1" indent="1"/>
    </xf>
    <xf numFmtId="0" fontId="1" fillId="5" borderId="14" xfId="0" applyFont="1" applyFill="1" applyBorder="1" applyAlignment="1">
      <alignment horizontal="right" vertical="center" indent="1"/>
    </xf>
    <xf numFmtId="165" fontId="4" fillId="2" borderId="13" xfId="0" applyNumberFormat="1" applyFont="1" applyFill="1" applyBorder="1" applyAlignment="1">
      <alignment horizontal="right" vertical="center" indent="1"/>
    </xf>
    <xf numFmtId="0" fontId="8" fillId="0" borderId="0" xfId="0" applyFont="1" applyAlignment="1">
      <alignment wrapText="1"/>
    </xf>
    <xf numFmtId="0" fontId="8" fillId="0" borderId="0" xfId="0" applyFont="1" applyAlignment="1">
      <alignment horizontal="justify" vertical="top" wrapText="1"/>
    </xf>
    <xf numFmtId="0" fontId="0" fillId="0" borderId="0" xfId="0" applyAlignment="1">
      <alignment horizontal="justify" vertical="top" wrapText="1"/>
    </xf>
  </cellXfs>
  <cellStyles count="2">
    <cellStyle name="Normal" xfId="0" builtinId="0"/>
    <cellStyle name="Normal 2 2" xfId="1"/>
  </cellStyles>
  <dxfs count="0"/>
  <tableStyles count="0" defaultTableStyle="TableStyleMedium2" defaultPivotStyle="PivotStyleLight16"/>
  <colors>
    <mruColors>
      <color rgb="FF66FF33"/>
      <color rgb="FFFFFFCC"/>
      <color rgb="FFFFCCCC"/>
      <color rgb="FF00FFFF"/>
      <color rgb="FF66FF66"/>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43"/>
  <sheetViews>
    <sheetView showGridLines="0" showZeros="0" tabSelected="1" zoomScaleNormal="100" workbookViewId="0"/>
  </sheetViews>
  <sheetFormatPr baseColWidth="10" defaultColWidth="11.42578125" defaultRowHeight="11.25" x14ac:dyDescent="0.2"/>
  <cols>
    <col min="1" max="1" width="0.85546875" style="10" customWidth="1"/>
    <col min="2" max="2" width="23" style="34" customWidth="1"/>
    <col min="3" max="3" width="0.85546875" style="10" customWidth="1"/>
    <col min="4" max="9" width="6.7109375" style="26" customWidth="1"/>
    <col min="10" max="10" width="0.85546875" style="98" customWidth="1"/>
    <col min="11" max="16" width="6.7109375" style="27" customWidth="1"/>
    <col min="17" max="17" width="0.85546875" style="99" customWidth="1"/>
    <col min="18" max="23" width="6.7109375" style="28" customWidth="1"/>
    <col min="24" max="24" width="0.85546875" style="10" customWidth="1"/>
    <col min="25" max="25" width="3.7109375" style="34" customWidth="1"/>
    <col min="26" max="16384" width="11.42578125" style="34"/>
  </cols>
  <sheetData>
    <row r="1" spans="1:26" s="10" customFormat="1" ht="5.0999999999999996" customHeight="1" x14ac:dyDescent="0.2">
      <c r="A1" s="15"/>
      <c r="B1" s="35"/>
      <c r="C1" s="15"/>
      <c r="D1" s="36"/>
      <c r="E1" s="36"/>
      <c r="F1" s="36"/>
      <c r="G1" s="36"/>
      <c r="H1" s="36"/>
      <c r="I1" s="36"/>
      <c r="J1" s="23"/>
      <c r="K1" s="36"/>
      <c r="L1" s="36"/>
      <c r="M1" s="36"/>
      <c r="N1" s="36"/>
      <c r="O1" s="36"/>
      <c r="P1" s="36"/>
      <c r="Q1" s="23"/>
      <c r="R1" s="37"/>
      <c r="S1" s="37"/>
      <c r="T1" s="37"/>
      <c r="U1" s="37"/>
      <c r="V1" s="37"/>
      <c r="W1" s="37"/>
      <c r="X1" s="15"/>
    </row>
    <row r="2" spans="1:26" ht="11.25" customHeight="1" x14ac:dyDescent="0.2">
      <c r="A2" s="15"/>
      <c r="B2" s="414" t="s">
        <v>0</v>
      </c>
      <c r="C2" s="14"/>
      <c r="D2" s="522">
        <v>2016</v>
      </c>
      <c r="E2" s="523"/>
      <c r="F2" s="523"/>
      <c r="G2" s="523"/>
      <c r="H2" s="523"/>
      <c r="I2" s="524"/>
      <c r="J2" s="95"/>
      <c r="K2" s="522">
        <v>2017</v>
      </c>
      <c r="L2" s="523"/>
      <c r="M2" s="523"/>
      <c r="N2" s="523"/>
      <c r="O2" s="523"/>
      <c r="P2" s="524"/>
      <c r="Q2" s="23"/>
      <c r="R2" s="550" t="s">
        <v>1</v>
      </c>
      <c r="S2" s="551"/>
      <c r="T2" s="551"/>
      <c r="U2" s="551"/>
      <c r="V2" s="551"/>
      <c r="W2" s="552"/>
      <c r="X2" s="14"/>
    </row>
    <row r="3" spans="1:26" s="10" customFormat="1" ht="5.0999999999999996" customHeight="1" x14ac:dyDescent="0.2">
      <c r="A3" s="15"/>
      <c r="B3" s="415"/>
      <c r="C3" s="15"/>
      <c r="D3" s="8"/>
      <c r="E3" s="8"/>
      <c r="F3" s="8"/>
      <c r="G3" s="8"/>
      <c r="H3" s="8"/>
      <c r="I3" s="8"/>
      <c r="J3" s="23"/>
      <c r="K3" s="8"/>
      <c r="L3" s="8"/>
      <c r="M3" s="8"/>
      <c r="N3" s="8"/>
      <c r="O3" s="8"/>
      <c r="P3" s="8"/>
      <c r="Q3" s="23"/>
      <c r="R3" s="96"/>
      <c r="S3" s="96"/>
      <c r="T3" s="96"/>
      <c r="U3" s="96"/>
      <c r="V3" s="96"/>
      <c r="W3" s="96"/>
      <c r="X3" s="15"/>
    </row>
    <row r="4" spans="1:26" ht="11.25" customHeight="1" x14ac:dyDescent="0.2">
      <c r="A4" s="38"/>
      <c r="B4" s="414" t="s">
        <v>2</v>
      </c>
      <c r="C4" s="16"/>
      <c r="D4" s="528" t="s">
        <v>3</v>
      </c>
      <c r="E4" s="529"/>
      <c r="F4" s="530"/>
      <c r="G4" s="531" t="s">
        <v>4</v>
      </c>
      <c r="H4" s="529"/>
      <c r="I4" s="530"/>
      <c r="K4" s="528" t="str">
        <f>D4</f>
        <v>régime général</v>
      </c>
      <c r="L4" s="529"/>
      <c r="M4" s="530"/>
      <c r="N4" s="531" t="str">
        <f>G4</f>
        <v>régime local alsace moselle</v>
      </c>
      <c r="O4" s="529"/>
      <c r="P4" s="530"/>
      <c r="Q4" s="98"/>
      <c r="R4" s="553" t="str">
        <f>D4</f>
        <v>régime général</v>
      </c>
      <c r="S4" s="554"/>
      <c r="T4" s="555"/>
      <c r="U4" s="554" t="str">
        <f>G4</f>
        <v>régime local alsace moselle</v>
      </c>
      <c r="V4" s="554"/>
      <c r="W4" s="555"/>
      <c r="X4" s="16"/>
    </row>
    <row r="5" spans="1:26" s="1" customFormat="1" ht="11.25" customHeight="1" x14ac:dyDescent="0.2">
      <c r="A5" s="11"/>
      <c r="B5" s="416" t="s">
        <v>5</v>
      </c>
      <c r="C5" s="17"/>
      <c r="D5" s="532">
        <v>118.17</v>
      </c>
      <c r="E5" s="533"/>
      <c r="F5" s="534"/>
      <c r="G5" s="533">
        <v>82.17</v>
      </c>
      <c r="H5" s="533"/>
      <c r="I5" s="534"/>
      <c r="J5" s="101"/>
      <c r="K5" s="532">
        <v>115.7</v>
      </c>
      <c r="L5" s="533"/>
      <c r="M5" s="534"/>
      <c r="N5" s="533">
        <v>75.209999999999994</v>
      </c>
      <c r="O5" s="533"/>
      <c r="P5" s="534"/>
      <c r="Q5" s="98"/>
      <c r="R5" s="556">
        <f>(K5/D5-1)</f>
        <v>-2.0902090209020896E-2</v>
      </c>
      <c r="S5" s="557"/>
      <c r="T5" s="558"/>
      <c r="U5" s="557">
        <f>(N5/G5-1)</f>
        <v>-8.4702446148229416E-2</v>
      </c>
      <c r="V5" s="557"/>
      <c r="W5" s="558"/>
      <c r="X5" s="17"/>
    </row>
    <row r="6" spans="1:26" s="2" customFormat="1" ht="11.25" customHeight="1" x14ac:dyDescent="0.2">
      <c r="A6" s="39"/>
      <c r="B6" s="417" t="s">
        <v>6</v>
      </c>
      <c r="C6" s="18"/>
      <c r="D6" s="538">
        <v>1.03E-2</v>
      </c>
      <c r="E6" s="539"/>
      <c r="F6" s="540"/>
      <c r="G6" s="538">
        <v>7.3899999999999999E-3</v>
      </c>
      <c r="H6" s="539"/>
      <c r="I6" s="540"/>
      <c r="J6" s="98"/>
      <c r="K6" s="483">
        <v>1.03E-2</v>
      </c>
      <c r="L6" s="484"/>
      <c r="M6" s="485"/>
      <c r="N6" s="483">
        <v>7.3899999999999999E-3</v>
      </c>
      <c r="O6" s="484"/>
      <c r="P6" s="485"/>
      <c r="Q6" s="98"/>
      <c r="R6" s="486">
        <f>R5*25%</f>
        <v>-5.225522552255224E-3</v>
      </c>
      <c r="S6" s="487"/>
      <c r="T6" s="488"/>
      <c r="U6" s="487">
        <f>U5*25%</f>
        <v>-2.1175611537057354E-2</v>
      </c>
      <c r="V6" s="487"/>
      <c r="W6" s="488"/>
      <c r="X6" s="18"/>
    </row>
    <row r="7" spans="1:26" s="3" customFormat="1" ht="11.25" customHeight="1" x14ac:dyDescent="0.2">
      <c r="A7" s="40"/>
      <c r="B7" s="418" t="s">
        <v>7</v>
      </c>
      <c r="C7" s="19"/>
      <c r="D7" s="535" t="str">
        <f>CONCATENATE(D5," € - part salariale")</f>
        <v>118.17 € - part salariale</v>
      </c>
      <c r="E7" s="536"/>
      <c r="F7" s="537"/>
      <c r="G7" s="536" t="str">
        <f>CONCATENATE(G5," € - part salariale")</f>
        <v>82.17 € - part salariale</v>
      </c>
      <c r="H7" s="536"/>
      <c r="I7" s="537"/>
      <c r="J7" s="101"/>
      <c r="K7" s="535" t="str">
        <f>CONCATENATE(K5,"0 € - part salariale")</f>
        <v>115.70 € - part salariale</v>
      </c>
      <c r="L7" s="536"/>
      <c r="M7" s="537"/>
      <c r="N7" s="536" t="str">
        <f>CONCATENATE(N5," € - part salariale")</f>
        <v>75.21 € - part salariale</v>
      </c>
      <c r="O7" s="536"/>
      <c r="P7" s="537"/>
      <c r="Q7" s="98"/>
      <c r="R7" s="562">
        <f>R5*75%</f>
        <v>-1.5676567656765672E-2</v>
      </c>
      <c r="S7" s="563"/>
      <c r="T7" s="564"/>
      <c r="U7" s="563">
        <f>U5*75%</f>
        <v>-6.3526834611172062E-2</v>
      </c>
      <c r="V7" s="563"/>
      <c r="W7" s="564"/>
      <c r="X7" s="19"/>
    </row>
    <row r="8" spans="1:26" s="1" customFormat="1" ht="11.25" customHeight="1" x14ac:dyDescent="0.2">
      <c r="A8" s="11"/>
      <c r="B8" s="416" t="s">
        <v>8</v>
      </c>
      <c r="C8" s="17"/>
      <c r="D8" s="532">
        <v>90.08</v>
      </c>
      <c r="E8" s="533"/>
      <c r="F8" s="534"/>
      <c r="G8" s="533">
        <v>62.99</v>
      </c>
      <c r="H8" s="533"/>
      <c r="I8" s="534"/>
      <c r="J8" s="101"/>
      <c r="K8" s="532">
        <v>89.8</v>
      </c>
      <c r="L8" s="533"/>
      <c r="M8" s="534"/>
      <c r="N8" s="533">
        <v>58.37</v>
      </c>
      <c r="O8" s="533"/>
      <c r="P8" s="534"/>
      <c r="Q8" s="98"/>
      <c r="R8" s="556">
        <f t="shared" ref="R8:R13" si="0">(K8/D8-1)</f>
        <v>-3.1083481349911679E-3</v>
      </c>
      <c r="S8" s="557"/>
      <c r="T8" s="558"/>
      <c r="U8" s="557">
        <f t="shared" ref="U8:U13" si="1">(N8/G8-1)</f>
        <v>-7.334497539291962E-2</v>
      </c>
      <c r="V8" s="557"/>
      <c r="W8" s="558"/>
      <c r="X8" s="17"/>
    </row>
    <row r="9" spans="1:26" s="1" customFormat="1" ht="11.25" customHeight="1" x14ac:dyDescent="0.2">
      <c r="A9" s="11"/>
      <c r="B9" s="419" t="s">
        <v>9</v>
      </c>
      <c r="C9" s="17"/>
      <c r="D9" s="495">
        <v>21.36</v>
      </c>
      <c r="E9" s="496"/>
      <c r="F9" s="497"/>
      <c r="G9" s="496">
        <v>14.64</v>
      </c>
      <c r="H9" s="496"/>
      <c r="I9" s="497"/>
      <c r="J9" s="101"/>
      <c r="K9" s="495">
        <v>49.1</v>
      </c>
      <c r="L9" s="496"/>
      <c r="M9" s="497"/>
      <c r="N9" s="496">
        <v>31.92</v>
      </c>
      <c r="O9" s="496"/>
      <c r="P9" s="497"/>
      <c r="Q9" s="98"/>
      <c r="R9" s="475">
        <f t="shared" si="0"/>
        <v>1.2986891385767794</v>
      </c>
      <c r="S9" s="476"/>
      <c r="T9" s="477"/>
      <c r="U9" s="476">
        <f t="shared" si="1"/>
        <v>1.180327868852459</v>
      </c>
      <c r="V9" s="476"/>
      <c r="W9" s="477"/>
      <c r="X9" s="17"/>
    </row>
    <row r="10" spans="1:26" s="1" customFormat="1" ht="11.25" customHeight="1" x14ac:dyDescent="0.2">
      <c r="A10" s="11"/>
      <c r="B10" s="416" t="s">
        <v>10</v>
      </c>
      <c r="C10" s="17"/>
      <c r="D10" s="532">
        <v>150.08000000000001</v>
      </c>
      <c r="E10" s="533"/>
      <c r="F10" s="534"/>
      <c r="G10" s="533">
        <v>105.04</v>
      </c>
      <c r="H10" s="533"/>
      <c r="I10" s="534"/>
      <c r="J10" s="101"/>
      <c r="K10" s="544">
        <v>144.63</v>
      </c>
      <c r="L10" s="545"/>
      <c r="M10" s="546"/>
      <c r="N10" s="545">
        <v>94.01</v>
      </c>
      <c r="O10" s="545"/>
      <c r="P10" s="546"/>
      <c r="Q10" s="98"/>
      <c r="R10" s="559">
        <f t="shared" si="0"/>
        <v>-3.6313965884861465E-2</v>
      </c>
      <c r="S10" s="560"/>
      <c r="T10" s="561"/>
      <c r="U10" s="560">
        <f t="shared" si="1"/>
        <v>-0.10500761614623</v>
      </c>
      <c r="V10" s="560"/>
      <c r="W10" s="561"/>
      <c r="X10" s="17"/>
    </row>
    <row r="11" spans="1:26" s="1" customFormat="1" ht="11.25" customHeight="1" x14ac:dyDescent="0.2">
      <c r="A11" s="11"/>
      <c r="B11" s="420" t="s">
        <v>11</v>
      </c>
      <c r="C11" s="17"/>
      <c r="D11" s="495">
        <v>116.35</v>
      </c>
      <c r="E11" s="496"/>
      <c r="F11" s="497"/>
      <c r="G11" s="496">
        <v>81.41</v>
      </c>
      <c r="H11" s="496"/>
      <c r="I11" s="497"/>
      <c r="J11" s="101"/>
      <c r="K11" s="541">
        <v>112.25</v>
      </c>
      <c r="L11" s="542"/>
      <c r="M11" s="543"/>
      <c r="N11" s="542">
        <v>72.959999999999994</v>
      </c>
      <c r="O11" s="542"/>
      <c r="P11" s="543"/>
      <c r="Q11" s="98"/>
      <c r="R11" s="580">
        <f t="shared" si="0"/>
        <v>-3.5238504512247526E-2</v>
      </c>
      <c r="S11" s="581"/>
      <c r="T11" s="582"/>
      <c r="U11" s="581">
        <f t="shared" si="1"/>
        <v>-0.10379560250583475</v>
      </c>
      <c r="V11" s="581"/>
      <c r="W11" s="582"/>
      <c r="X11" s="17"/>
    </row>
    <row r="12" spans="1:26" s="1" customFormat="1" ht="11.25" customHeight="1" x14ac:dyDescent="0.2">
      <c r="A12" s="11"/>
      <c r="B12" s="416" t="s">
        <v>12</v>
      </c>
      <c r="C12" s="17"/>
      <c r="D12" s="544">
        <v>150.08000000000001</v>
      </c>
      <c r="E12" s="545"/>
      <c r="F12" s="546"/>
      <c r="G12" s="545">
        <v>105.04</v>
      </c>
      <c r="H12" s="545"/>
      <c r="I12" s="546"/>
      <c r="J12" s="101"/>
      <c r="K12" s="544">
        <v>144.63</v>
      </c>
      <c r="L12" s="545"/>
      <c r="M12" s="546"/>
      <c r="N12" s="545">
        <v>94.01</v>
      </c>
      <c r="O12" s="545"/>
      <c r="P12" s="546"/>
      <c r="Q12" s="98"/>
      <c r="R12" s="559">
        <f t="shared" si="0"/>
        <v>-3.6313965884861465E-2</v>
      </c>
      <c r="S12" s="560"/>
      <c r="T12" s="561"/>
      <c r="U12" s="560">
        <f t="shared" si="1"/>
        <v>-0.10500761614623</v>
      </c>
      <c r="V12" s="560"/>
      <c r="W12" s="561"/>
      <c r="X12" s="17"/>
    </row>
    <row r="13" spans="1:26" s="1" customFormat="1" ht="11.25" customHeight="1" x14ac:dyDescent="0.2">
      <c r="A13" s="11"/>
      <c r="B13" s="420" t="s">
        <v>13</v>
      </c>
      <c r="C13" s="17"/>
      <c r="D13" s="541">
        <v>116.35</v>
      </c>
      <c r="E13" s="542"/>
      <c r="F13" s="543"/>
      <c r="G13" s="542">
        <v>81.41</v>
      </c>
      <c r="H13" s="542"/>
      <c r="I13" s="543"/>
      <c r="J13" s="101"/>
      <c r="K13" s="541">
        <v>112.25</v>
      </c>
      <c r="L13" s="542"/>
      <c r="M13" s="543"/>
      <c r="N13" s="542">
        <v>72.959999999999994</v>
      </c>
      <c r="O13" s="542"/>
      <c r="P13" s="543"/>
      <c r="Q13" s="98"/>
      <c r="R13" s="580">
        <f t="shared" si="0"/>
        <v>-3.5238504512247526E-2</v>
      </c>
      <c r="S13" s="581"/>
      <c r="T13" s="582"/>
      <c r="U13" s="581">
        <f t="shared" si="1"/>
        <v>-0.10379560250583475</v>
      </c>
      <c r="V13" s="581"/>
      <c r="W13" s="582"/>
      <c r="X13" s="17"/>
    </row>
    <row r="14" spans="1:26" s="1" customFormat="1" ht="11.25" customHeight="1" x14ac:dyDescent="0.2">
      <c r="A14" s="11"/>
      <c r="B14" s="577" t="s">
        <v>14</v>
      </c>
      <c r="C14" s="17"/>
      <c r="D14" s="361" t="s">
        <v>15</v>
      </c>
      <c r="E14" s="362"/>
      <c r="F14" s="362"/>
      <c r="G14" s="362"/>
      <c r="H14" s="362"/>
      <c r="I14" s="363"/>
      <c r="J14" s="13"/>
      <c r="K14" s="489" t="s">
        <v>16</v>
      </c>
      <c r="L14" s="490"/>
      <c r="M14" s="490"/>
      <c r="N14" s="490"/>
      <c r="O14" s="490"/>
      <c r="P14" s="491"/>
      <c r="Q14" s="13"/>
      <c r="R14" s="489" t="s">
        <v>17</v>
      </c>
      <c r="S14" s="490"/>
      <c r="T14" s="490"/>
      <c r="U14" s="490"/>
      <c r="V14" s="490"/>
      <c r="W14" s="491"/>
      <c r="X14" s="17"/>
    </row>
    <row r="15" spans="1:26" s="1" customFormat="1" ht="11.25" customHeight="1" x14ac:dyDescent="0.2">
      <c r="A15" s="11"/>
      <c r="B15" s="578"/>
      <c r="C15" s="17"/>
      <c r="D15" s="364" t="s">
        <v>18</v>
      </c>
      <c r="E15" s="365"/>
      <c r="F15" s="365"/>
      <c r="G15" s="365"/>
      <c r="H15" s="365"/>
      <c r="I15" s="366"/>
      <c r="J15" s="13"/>
      <c r="K15" s="492"/>
      <c r="L15" s="493"/>
      <c r="M15" s="493"/>
      <c r="N15" s="493"/>
      <c r="O15" s="493"/>
      <c r="P15" s="494"/>
      <c r="Q15" s="13"/>
      <c r="R15" s="492"/>
      <c r="S15" s="493"/>
      <c r="T15" s="493"/>
      <c r="U15" s="493"/>
      <c r="V15" s="493"/>
      <c r="W15" s="494"/>
      <c r="X15" s="17"/>
    </row>
    <row r="16" spans="1:26" s="1" customFormat="1" ht="11.25" customHeight="1" x14ac:dyDescent="0.2">
      <c r="A16" s="11"/>
      <c r="B16" s="579"/>
      <c r="C16" s="17"/>
      <c r="D16" s="367" t="s">
        <v>19</v>
      </c>
      <c r="E16" s="368"/>
      <c r="F16" s="368"/>
      <c r="G16" s="368"/>
      <c r="H16" s="368"/>
      <c r="I16" s="369"/>
      <c r="J16" s="13"/>
      <c r="K16" s="495" t="s">
        <v>20</v>
      </c>
      <c r="L16" s="496"/>
      <c r="M16" s="496"/>
      <c r="N16" s="496"/>
      <c r="O16" s="496"/>
      <c r="P16" s="497"/>
      <c r="Q16" s="13"/>
      <c r="R16" s="495" t="s">
        <v>21</v>
      </c>
      <c r="S16" s="496"/>
      <c r="T16" s="496"/>
      <c r="U16" s="496"/>
      <c r="V16" s="496"/>
      <c r="W16" s="497"/>
      <c r="X16" s="17"/>
      <c r="Z16" s="62"/>
    </row>
    <row r="17" spans="1:24" s="11" customFormat="1" ht="5.0999999999999996" customHeight="1" x14ac:dyDescent="0.2">
      <c r="B17" s="421"/>
      <c r="D17" s="13"/>
      <c r="E17" s="13"/>
      <c r="F17" s="13"/>
      <c r="G17" s="13"/>
      <c r="H17" s="13"/>
      <c r="I17" s="13"/>
      <c r="J17" s="13"/>
      <c r="K17" s="12"/>
      <c r="L17" s="13"/>
      <c r="M17" s="13"/>
      <c r="N17" s="12"/>
      <c r="O17" s="13"/>
      <c r="P17" s="13"/>
      <c r="Q17" s="13"/>
      <c r="R17" s="97"/>
      <c r="S17" s="97"/>
      <c r="T17" s="97"/>
      <c r="U17" s="97"/>
      <c r="V17" s="97"/>
      <c r="W17" s="97"/>
    </row>
    <row r="18" spans="1:24" ht="11.25" customHeight="1" x14ac:dyDescent="0.2">
      <c r="A18" s="41"/>
      <c r="B18" s="441" t="s">
        <v>22</v>
      </c>
      <c r="C18" s="20"/>
      <c r="D18" s="525" t="s">
        <v>23</v>
      </c>
      <c r="E18" s="526"/>
      <c r="F18" s="525" t="s">
        <v>24</v>
      </c>
      <c r="G18" s="526"/>
      <c r="H18" s="525" t="s">
        <v>25</v>
      </c>
      <c r="I18" s="526"/>
      <c r="K18" s="525" t="str">
        <f>D18</f>
        <v>tranche A</v>
      </c>
      <c r="L18" s="526"/>
      <c r="M18" s="525" t="str">
        <f>F18</f>
        <v>tranche B</v>
      </c>
      <c r="N18" s="526"/>
      <c r="O18" s="527" t="str">
        <f>H18</f>
        <v>tranche C</v>
      </c>
      <c r="P18" s="526"/>
      <c r="Q18" s="98"/>
      <c r="R18" s="567" t="str">
        <f>D18</f>
        <v>tranche A</v>
      </c>
      <c r="S18" s="568"/>
      <c r="T18" s="567" t="str">
        <f>F18</f>
        <v>tranche B</v>
      </c>
      <c r="U18" s="568"/>
      <c r="V18" s="567" t="str">
        <f>H18</f>
        <v>tranche C</v>
      </c>
      <c r="W18" s="568"/>
      <c r="X18" s="20"/>
    </row>
    <row r="19" spans="1:24" s="6" customFormat="1" ht="33.75" customHeight="1" x14ac:dyDescent="0.2">
      <c r="A19" s="41"/>
      <c r="B19" s="442"/>
      <c r="C19" s="20"/>
      <c r="D19" s="379" t="s">
        <v>26</v>
      </c>
      <c r="E19" s="380" t="s">
        <v>27</v>
      </c>
      <c r="F19" s="379" t="s">
        <v>26</v>
      </c>
      <c r="G19" s="380" t="s">
        <v>27</v>
      </c>
      <c r="H19" s="379" t="s">
        <v>26</v>
      </c>
      <c r="I19" s="380" t="s">
        <v>27</v>
      </c>
      <c r="J19" s="12"/>
      <c r="K19" s="379" t="str">
        <f>D19</f>
        <v>employé</v>
      </c>
      <c r="L19" s="380" t="str">
        <f>E19</f>
        <v>agent de maîtrise cadre</v>
      </c>
      <c r="M19" s="379" t="str">
        <f>F19</f>
        <v>employé</v>
      </c>
      <c r="N19" s="380" t="str">
        <f>G19</f>
        <v>agent de maîtrise cadre</v>
      </c>
      <c r="O19" s="379" t="str">
        <f>H19</f>
        <v>employé</v>
      </c>
      <c r="P19" s="380" t="str">
        <f>I19</f>
        <v>agent de maîtrise cadre</v>
      </c>
      <c r="Q19" s="12"/>
      <c r="R19" s="381" t="str">
        <f>D19</f>
        <v>employé</v>
      </c>
      <c r="S19" s="382" t="str">
        <f>E19</f>
        <v>agent de maîtrise cadre</v>
      </c>
      <c r="T19" s="381" t="str">
        <f>F19</f>
        <v>employé</v>
      </c>
      <c r="U19" s="382" t="str">
        <f>G19</f>
        <v>agent de maîtrise cadre</v>
      </c>
      <c r="V19" s="381" t="str">
        <f>H19</f>
        <v>employé</v>
      </c>
      <c r="W19" s="382" t="str">
        <f>I19</f>
        <v>agent de maîtrise cadre</v>
      </c>
      <c r="X19" s="20"/>
    </row>
    <row r="20" spans="1:24" s="2" customFormat="1" ht="11.25" customHeight="1" x14ac:dyDescent="0.2">
      <c r="A20" s="42"/>
      <c r="B20" s="422" t="s">
        <v>28</v>
      </c>
      <c r="C20" s="21"/>
      <c r="D20" s="458">
        <v>2.0029999999999999E-2</v>
      </c>
      <c r="E20" s="459"/>
      <c r="F20" s="443">
        <v>2.853E-2</v>
      </c>
      <c r="G20" s="444"/>
      <c r="H20" s="504"/>
      <c r="I20" s="505"/>
      <c r="J20" s="98"/>
      <c r="K20" s="458">
        <v>1.9400000000000001E-2</v>
      </c>
      <c r="L20" s="459"/>
      <c r="M20" s="443">
        <v>3.0700000000000002E-2</v>
      </c>
      <c r="N20" s="444"/>
      <c r="O20" s="504"/>
      <c r="P20" s="505"/>
      <c r="Q20" s="98"/>
      <c r="R20" s="565">
        <f>(K20/D20-1)</f>
        <v>-3.1452820768846701E-2</v>
      </c>
      <c r="S20" s="566"/>
      <c r="T20" s="506">
        <f>(M20/F20-1)</f>
        <v>7.6060287416754413E-2</v>
      </c>
      <c r="U20" s="507"/>
      <c r="V20" s="508"/>
      <c r="W20" s="509"/>
      <c r="X20" s="21"/>
    </row>
    <row r="21" spans="1:24" s="2" customFormat="1" ht="11.25" customHeight="1" x14ac:dyDescent="0.2">
      <c r="A21" s="39"/>
      <c r="B21" s="462" t="s">
        <v>29</v>
      </c>
      <c r="C21" s="18"/>
      <c r="D21" s="460">
        <v>5.2100000000000002E-3</v>
      </c>
      <c r="E21" s="461"/>
      <c r="F21" s="111">
        <v>1.1979999999999999E-2</v>
      </c>
      <c r="G21" s="112">
        <v>1.2840000000000001E-2</v>
      </c>
      <c r="H21" s="460">
        <v>1.427E-2</v>
      </c>
      <c r="I21" s="461"/>
      <c r="J21" s="25"/>
      <c r="K21" s="460">
        <v>5.0400000000000002E-3</v>
      </c>
      <c r="L21" s="461"/>
      <c r="M21" s="111">
        <v>1.289E-2</v>
      </c>
      <c r="N21" s="112">
        <v>1.3820000000000001E-2</v>
      </c>
      <c r="O21" s="460">
        <v>1.5350000000000001E-2</v>
      </c>
      <c r="P21" s="461"/>
      <c r="Q21" s="25"/>
      <c r="R21" s="569">
        <f>(K21/D21-1)</f>
        <v>-3.2629558541266812E-2</v>
      </c>
      <c r="S21" s="570"/>
      <c r="T21" s="113">
        <f>(M21/F21-1)</f>
        <v>7.5959933222036868E-2</v>
      </c>
      <c r="U21" s="114">
        <f>(N21/G21-1)</f>
        <v>7.6323987538940763E-2</v>
      </c>
      <c r="V21" s="573">
        <f>(O21/H21-1)</f>
        <v>7.56832515767345E-2</v>
      </c>
      <c r="W21" s="570"/>
      <c r="X21" s="18"/>
    </row>
    <row r="22" spans="1:24" s="2" customFormat="1" ht="11.25" customHeight="1" x14ac:dyDescent="0.2">
      <c r="A22" s="39"/>
      <c r="B22" s="463"/>
      <c r="C22" s="18"/>
      <c r="D22" s="446">
        <f>D21/D20</f>
        <v>0.26010983524712933</v>
      </c>
      <c r="E22" s="448"/>
      <c r="F22" s="168">
        <f>F21/F20</f>
        <v>0.41990886785839465</v>
      </c>
      <c r="G22" s="169">
        <f>G21/F20</f>
        <v>0.45005257623554157</v>
      </c>
      <c r="H22" s="446">
        <f>H21/F20</f>
        <v>0.50017525411847175</v>
      </c>
      <c r="I22" s="448"/>
      <c r="J22" s="24"/>
      <c r="K22" s="446">
        <f>K21/K20</f>
        <v>0.25979381443298971</v>
      </c>
      <c r="L22" s="448"/>
      <c r="M22" s="168">
        <f>M21/M20</f>
        <v>0.41986970684039088</v>
      </c>
      <c r="N22" s="169">
        <f>N21/M20</f>
        <v>0.45016286644951142</v>
      </c>
      <c r="O22" s="446">
        <f>O21/M20</f>
        <v>0.5</v>
      </c>
      <c r="P22" s="448"/>
      <c r="Q22" s="24"/>
      <c r="R22" s="510" t="s">
        <v>30</v>
      </c>
      <c r="S22" s="511"/>
      <c r="T22" s="511"/>
      <c r="U22" s="511"/>
      <c r="V22" s="511"/>
      <c r="W22" s="512"/>
      <c r="X22" s="18"/>
    </row>
    <row r="23" spans="1:24" s="2" customFormat="1" ht="11.25" customHeight="1" x14ac:dyDescent="0.2">
      <c r="A23" s="39"/>
      <c r="B23" s="464" t="s">
        <v>7</v>
      </c>
      <c r="C23" s="18"/>
      <c r="D23" s="470">
        <v>1.482E-2</v>
      </c>
      <c r="E23" s="471"/>
      <c r="F23" s="103">
        <v>1.6549999999999999E-2</v>
      </c>
      <c r="G23" s="104">
        <v>1.5689999999999999E-2</v>
      </c>
      <c r="H23" s="470">
        <v>1.427E-2</v>
      </c>
      <c r="I23" s="471"/>
      <c r="J23" s="25"/>
      <c r="K23" s="470">
        <v>1.436E-2</v>
      </c>
      <c r="L23" s="471"/>
      <c r="M23" s="103">
        <v>1.7809999999999999E-2</v>
      </c>
      <c r="N23" s="104">
        <v>1.6889999999999999E-2</v>
      </c>
      <c r="O23" s="470">
        <v>1.5350000000000001E-2</v>
      </c>
      <c r="P23" s="471"/>
      <c r="Q23" s="25"/>
      <c r="R23" s="571">
        <f>(K23/D23-1)</f>
        <v>-3.1039136302294268E-2</v>
      </c>
      <c r="S23" s="572"/>
      <c r="T23" s="105">
        <f>(M23/F23-1)</f>
        <v>7.6132930513595154E-2</v>
      </c>
      <c r="U23" s="106">
        <f>(N23/G23-1)</f>
        <v>7.6481835564053524E-2</v>
      </c>
      <c r="V23" s="574">
        <f>(O23/H23-1)</f>
        <v>7.56832515767345E-2</v>
      </c>
      <c r="W23" s="572"/>
      <c r="X23" s="18"/>
    </row>
    <row r="24" spans="1:24" s="2" customFormat="1" ht="11.25" customHeight="1" x14ac:dyDescent="0.2">
      <c r="A24" s="39"/>
      <c r="B24" s="465"/>
      <c r="C24" s="18"/>
      <c r="D24" s="452">
        <f>D23/D20</f>
        <v>0.73989016475287073</v>
      </c>
      <c r="E24" s="454"/>
      <c r="F24" s="170">
        <f>F23/F20</f>
        <v>0.58009113214160524</v>
      </c>
      <c r="G24" s="171">
        <f>G23/F20</f>
        <v>0.54994742376445849</v>
      </c>
      <c r="H24" s="452">
        <f>H23/F20</f>
        <v>0.50017525411847175</v>
      </c>
      <c r="I24" s="454"/>
      <c r="J24" s="24"/>
      <c r="K24" s="452">
        <f>K23/K20</f>
        <v>0.74020618556701023</v>
      </c>
      <c r="L24" s="454"/>
      <c r="M24" s="170">
        <f>M23/M20</f>
        <v>0.58013029315960907</v>
      </c>
      <c r="N24" s="171">
        <f>N23/M20</f>
        <v>0.55016286644951129</v>
      </c>
      <c r="O24" s="452">
        <f>O23/M20</f>
        <v>0.5</v>
      </c>
      <c r="P24" s="454"/>
      <c r="Q24" s="24"/>
      <c r="R24" s="513" t="s">
        <v>30</v>
      </c>
      <c r="S24" s="514"/>
      <c r="T24" s="514"/>
      <c r="U24" s="514"/>
      <c r="V24" s="514"/>
      <c r="W24" s="515"/>
      <c r="X24" s="18"/>
    </row>
    <row r="25" spans="1:24" s="2" customFormat="1" ht="11.25" customHeight="1" x14ac:dyDescent="0.2">
      <c r="A25" s="39"/>
      <c r="B25" s="422" t="s">
        <v>31</v>
      </c>
      <c r="C25" s="18"/>
      <c r="D25" s="458">
        <v>2.1090000000000001E-2</v>
      </c>
      <c r="E25" s="459"/>
      <c r="F25" s="443">
        <v>2.2120000000000001E-2</v>
      </c>
      <c r="G25" s="444"/>
      <c r="H25" s="504"/>
      <c r="I25" s="505"/>
      <c r="J25" s="98"/>
      <c r="K25" s="458">
        <v>2.1000000000000001E-2</v>
      </c>
      <c r="L25" s="459"/>
      <c r="M25" s="443">
        <v>2.23E-2</v>
      </c>
      <c r="N25" s="444"/>
      <c r="O25" s="504"/>
      <c r="P25" s="505"/>
      <c r="Q25" s="98"/>
      <c r="R25" s="565">
        <f>(K25/D25-1)</f>
        <v>-4.2674253200568613E-3</v>
      </c>
      <c r="S25" s="566"/>
      <c r="T25" s="506">
        <f>(M25/F25-1)</f>
        <v>8.1374321880651745E-3</v>
      </c>
      <c r="U25" s="507"/>
      <c r="V25" s="508"/>
      <c r="W25" s="509"/>
      <c r="X25" s="18"/>
    </row>
    <row r="26" spans="1:24" s="2" customFormat="1" ht="11.25" customHeight="1" x14ac:dyDescent="0.2">
      <c r="A26" s="39"/>
      <c r="B26" s="462" t="s">
        <v>29</v>
      </c>
      <c r="C26" s="18"/>
      <c r="D26" s="460">
        <v>5.4799999999999996E-3</v>
      </c>
      <c r="E26" s="461"/>
      <c r="F26" s="111">
        <v>9.2899999999999996E-3</v>
      </c>
      <c r="G26" s="112">
        <v>9.9500000000000005E-3</v>
      </c>
      <c r="H26" s="460">
        <v>1.106E-2</v>
      </c>
      <c r="I26" s="461"/>
      <c r="J26" s="25"/>
      <c r="K26" s="460">
        <v>5.4600000000000004E-3</v>
      </c>
      <c r="L26" s="461"/>
      <c r="M26" s="111">
        <v>9.3699999999999999E-3</v>
      </c>
      <c r="N26" s="112">
        <v>1.004E-2</v>
      </c>
      <c r="O26" s="460">
        <v>1.115E-2</v>
      </c>
      <c r="P26" s="461"/>
      <c r="Q26" s="25"/>
      <c r="R26" s="569">
        <f>(K26/D26-1)</f>
        <v>-3.6496350364961794E-3</v>
      </c>
      <c r="S26" s="575"/>
      <c r="T26" s="113">
        <f>(M26/F26-1)</f>
        <v>8.6114101184069369E-3</v>
      </c>
      <c r="U26" s="114">
        <f>(N26/G26-1)</f>
        <v>9.0452261306532833E-3</v>
      </c>
      <c r="V26" s="573">
        <f>(O26/H26-1)</f>
        <v>8.1374321880651745E-3</v>
      </c>
      <c r="W26" s="570"/>
      <c r="X26" s="18"/>
    </row>
    <row r="27" spans="1:24" s="2" customFormat="1" ht="11.25" customHeight="1" x14ac:dyDescent="0.2">
      <c r="A27" s="39"/>
      <c r="B27" s="463"/>
      <c r="C27" s="18"/>
      <c r="D27" s="446">
        <f>D26/D25</f>
        <v>0.25983878615457562</v>
      </c>
      <c r="E27" s="448"/>
      <c r="F27" s="168">
        <f>F26/F25</f>
        <v>0.4199819168173598</v>
      </c>
      <c r="G27" s="169">
        <f>G26/F25</f>
        <v>0.44981916817359857</v>
      </c>
      <c r="H27" s="446">
        <f>H26/F25</f>
        <v>0.5</v>
      </c>
      <c r="I27" s="448"/>
      <c r="J27" s="24"/>
      <c r="K27" s="446">
        <f>K26/K25</f>
        <v>0.26</v>
      </c>
      <c r="L27" s="448"/>
      <c r="M27" s="168">
        <f>M26/M25</f>
        <v>0.42017937219730939</v>
      </c>
      <c r="N27" s="169">
        <f>N26/M25</f>
        <v>0.45022421524663681</v>
      </c>
      <c r="O27" s="446">
        <f>O26/M25</f>
        <v>0.5</v>
      </c>
      <c r="P27" s="448"/>
      <c r="Q27" s="24"/>
      <c r="R27" s="510" t="s">
        <v>30</v>
      </c>
      <c r="S27" s="511"/>
      <c r="T27" s="511"/>
      <c r="U27" s="511"/>
      <c r="V27" s="511"/>
      <c r="W27" s="512"/>
      <c r="X27" s="18"/>
    </row>
    <row r="28" spans="1:24" s="2" customFormat="1" ht="11.25" customHeight="1" x14ac:dyDescent="0.2">
      <c r="A28" s="39"/>
      <c r="B28" s="464" t="s">
        <v>7</v>
      </c>
      <c r="C28" s="18"/>
      <c r="D28" s="470">
        <v>1.5610000000000001E-2</v>
      </c>
      <c r="E28" s="471"/>
      <c r="F28" s="103">
        <v>1.2829999999999999E-2</v>
      </c>
      <c r="G28" s="104">
        <v>1.217E-2</v>
      </c>
      <c r="H28" s="470">
        <v>1.106E-2</v>
      </c>
      <c r="I28" s="471"/>
      <c r="J28" s="25"/>
      <c r="K28" s="470">
        <v>1.554E-2</v>
      </c>
      <c r="L28" s="471"/>
      <c r="M28" s="103">
        <v>1.2930000000000001E-2</v>
      </c>
      <c r="N28" s="104">
        <v>1.227E-2</v>
      </c>
      <c r="O28" s="470">
        <v>1.115E-2</v>
      </c>
      <c r="P28" s="471"/>
      <c r="Q28" s="25"/>
      <c r="R28" s="571">
        <f>(K28/D28-1)</f>
        <v>-4.484304932735439E-3</v>
      </c>
      <c r="S28" s="576"/>
      <c r="T28" s="105">
        <f>(M28/F28-1)</f>
        <v>7.7942322681217036E-3</v>
      </c>
      <c r="U28" s="106">
        <f>(N28/G28-1)</f>
        <v>8.2169268693508268E-3</v>
      </c>
      <c r="V28" s="574">
        <f>(O28/H28-1)</f>
        <v>8.1374321880651745E-3</v>
      </c>
      <c r="W28" s="572"/>
      <c r="X28" s="18"/>
    </row>
    <row r="29" spans="1:24" s="2" customFormat="1" ht="11.25" customHeight="1" x14ac:dyDescent="0.2">
      <c r="A29" s="39"/>
      <c r="B29" s="465"/>
      <c r="C29" s="18"/>
      <c r="D29" s="452">
        <f>D28/D25</f>
        <v>0.74016121384542433</v>
      </c>
      <c r="E29" s="454"/>
      <c r="F29" s="170">
        <f>F28/F25</f>
        <v>0.58001808318264014</v>
      </c>
      <c r="G29" s="171">
        <f>G28/F25</f>
        <v>0.55018083182640143</v>
      </c>
      <c r="H29" s="452">
        <f>H28/F25</f>
        <v>0.5</v>
      </c>
      <c r="I29" s="454"/>
      <c r="J29" s="24"/>
      <c r="K29" s="452">
        <f>K28/K25</f>
        <v>0.74</v>
      </c>
      <c r="L29" s="454"/>
      <c r="M29" s="170">
        <f>M28/M25</f>
        <v>0.57982062780269061</v>
      </c>
      <c r="N29" s="171">
        <f>N28/M25</f>
        <v>0.55022421524663678</v>
      </c>
      <c r="O29" s="452">
        <f>O28/M25</f>
        <v>0.5</v>
      </c>
      <c r="P29" s="454"/>
      <c r="Q29" s="24"/>
      <c r="R29" s="455" t="s">
        <v>30</v>
      </c>
      <c r="S29" s="456"/>
      <c r="T29" s="456"/>
      <c r="U29" s="456"/>
      <c r="V29" s="456"/>
      <c r="W29" s="457"/>
      <c r="X29" s="18"/>
    </row>
    <row r="30" spans="1:24" s="2" customFormat="1" ht="11.25" customHeight="1" x14ac:dyDescent="0.2">
      <c r="A30" s="39"/>
      <c r="B30" s="423" t="s">
        <v>32</v>
      </c>
      <c r="C30" s="18"/>
      <c r="D30" s="443">
        <v>4.8500000000000001E-3</v>
      </c>
      <c r="E30" s="444"/>
      <c r="F30" s="444"/>
      <c r="G30" s="444"/>
      <c r="H30" s="444"/>
      <c r="I30" s="445"/>
      <c r="J30" s="98"/>
      <c r="K30" s="443">
        <v>6.3099999999999996E-3</v>
      </c>
      <c r="L30" s="444"/>
      <c r="M30" s="444"/>
      <c r="N30" s="444"/>
      <c r="O30" s="444"/>
      <c r="P30" s="445"/>
      <c r="Q30" s="98"/>
      <c r="R30" s="516">
        <f>K30/D30-1</f>
        <v>0.30103092783505137</v>
      </c>
      <c r="S30" s="517"/>
      <c r="T30" s="517"/>
      <c r="U30" s="517"/>
      <c r="V30" s="517"/>
      <c r="W30" s="518"/>
      <c r="X30" s="18"/>
    </row>
    <row r="31" spans="1:24" s="2" customFormat="1" ht="11.25" customHeight="1" x14ac:dyDescent="0.2">
      <c r="A31" s="39"/>
      <c r="B31" s="466" t="s">
        <v>29</v>
      </c>
      <c r="C31" s="18"/>
      <c r="D31" s="460">
        <v>1.9400000000000001E-3</v>
      </c>
      <c r="E31" s="481"/>
      <c r="F31" s="481"/>
      <c r="G31" s="481"/>
      <c r="H31" s="481"/>
      <c r="I31" s="461"/>
      <c r="J31" s="98"/>
      <c r="K31" s="460">
        <v>2.5200000000000001E-3</v>
      </c>
      <c r="L31" s="481"/>
      <c r="M31" s="481"/>
      <c r="N31" s="481"/>
      <c r="O31" s="481"/>
      <c r="P31" s="461"/>
      <c r="Q31" s="98"/>
      <c r="R31" s="446">
        <f>K31/D31-1</f>
        <v>0.2989690721649485</v>
      </c>
      <c r="S31" s="447"/>
      <c r="T31" s="447"/>
      <c r="U31" s="447"/>
      <c r="V31" s="447"/>
      <c r="W31" s="448"/>
      <c r="X31" s="18"/>
    </row>
    <row r="32" spans="1:24" s="2" customFormat="1" ht="11.25" customHeight="1" x14ac:dyDescent="0.2">
      <c r="A32" s="39"/>
      <c r="B32" s="467"/>
      <c r="C32" s="18"/>
      <c r="D32" s="446">
        <f>D31/D30</f>
        <v>0.4</v>
      </c>
      <c r="E32" s="447"/>
      <c r="F32" s="447"/>
      <c r="G32" s="447"/>
      <c r="H32" s="447"/>
      <c r="I32" s="448"/>
      <c r="J32" s="24"/>
      <c r="K32" s="446">
        <f>K31/K30</f>
        <v>0.39936608557844694</v>
      </c>
      <c r="L32" s="447"/>
      <c r="M32" s="447"/>
      <c r="N32" s="447"/>
      <c r="O32" s="447"/>
      <c r="P32" s="448"/>
      <c r="Q32" s="24"/>
      <c r="R32" s="449" t="s">
        <v>30</v>
      </c>
      <c r="S32" s="450"/>
      <c r="T32" s="450"/>
      <c r="U32" s="450"/>
      <c r="V32" s="450"/>
      <c r="W32" s="451"/>
      <c r="X32" s="18"/>
    </row>
    <row r="33" spans="1:24" s="2" customFormat="1" ht="11.25" customHeight="1" x14ac:dyDescent="0.2">
      <c r="A33" s="39"/>
      <c r="B33" s="468" t="s">
        <v>7</v>
      </c>
      <c r="C33" s="18"/>
      <c r="D33" s="470">
        <v>2.9099999999999998E-3</v>
      </c>
      <c r="E33" s="482"/>
      <c r="F33" s="482"/>
      <c r="G33" s="482"/>
      <c r="H33" s="482"/>
      <c r="I33" s="471"/>
      <c r="J33" s="98"/>
      <c r="K33" s="470">
        <v>3.79E-3</v>
      </c>
      <c r="L33" s="482"/>
      <c r="M33" s="482"/>
      <c r="N33" s="482"/>
      <c r="O33" s="482"/>
      <c r="P33" s="471"/>
      <c r="Q33" s="98"/>
      <c r="R33" s="519">
        <f>K33/D33-1</f>
        <v>0.30240549828178698</v>
      </c>
      <c r="S33" s="520"/>
      <c r="T33" s="520"/>
      <c r="U33" s="520"/>
      <c r="V33" s="520"/>
      <c r="W33" s="521"/>
      <c r="X33" s="18"/>
    </row>
    <row r="34" spans="1:24" s="2" customFormat="1" ht="11.25" customHeight="1" x14ac:dyDescent="0.2">
      <c r="A34" s="39"/>
      <c r="B34" s="469"/>
      <c r="C34" s="18"/>
      <c r="D34" s="452">
        <f>D33/D30</f>
        <v>0.6</v>
      </c>
      <c r="E34" s="453"/>
      <c r="F34" s="453"/>
      <c r="G34" s="453"/>
      <c r="H34" s="453"/>
      <c r="I34" s="454"/>
      <c r="J34" s="24"/>
      <c r="K34" s="452">
        <f>K33/K30</f>
        <v>0.60063391442155312</v>
      </c>
      <c r="L34" s="453"/>
      <c r="M34" s="453"/>
      <c r="N34" s="453"/>
      <c r="O34" s="453"/>
      <c r="P34" s="454"/>
      <c r="Q34" s="24"/>
      <c r="R34" s="455" t="s">
        <v>30</v>
      </c>
      <c r="S34" s="456"/>
      <c r="T34" s="456"/>
      <c r="U34" s="456"/>
      <c r="V34" s="456"/>
      <c r="W34" s="457"/>
      <c r="X34" s="18"/>
    </row>
    <row r="35" spans="1:24" ht="11.25" customHeight="1" x14ac:dyDescent="0.2">
      <c r="B35" s="424" t="s">
        <v>33</v>
      </c>
      <c r="C35" s="22"/>
      <c r="D35" s="544">
        <v>76.319999999999993</v>
      </c>
      <c r="E35" s="545"/>
      <c r="F35" s="545"/>
      <c r="G35" s="545"/>
      <c r="H35" s="545"/>
      <c r="I35" s="546"/>
      <c r="J35" s="101"/>
      <c r="K35" s="544">
        <v>139.09</v>
      </c>
      <c r="L35" s="545"/>
      <c r="M35" s="545"/>
      <c r="N35" s="545"/>
      <c r="O35" s="545"/>
      <c r="P35" s="546"/>
      <c r="Q35" s="98"/>
      <c r="R35" s="516">
        <f t="shared" ref="R35:R40" si="2">K35/D35-1</f>
        <v>0.82245807127882631</v>
      </c>
      <c r="S35" s="517"/>
      <c r="T35" s="517"/>
      <c r="U35" s="517"/>
      <c r="V35" s="517"/>
      <c r="W35" s="518"/>
      <c r="X35" s="22"/>
    </row>
    <row r="36" spans="1:24" ht="11.25" customHeight="1" x14ac:dyDescent="0.2">
      <c r="B36" s="425" t="s">
        <v>34</v>
      </c>
      <c r="C36" s="22"/>
      <c r="D36" s="547">
        <v>78.599999999999994</v>
      </c>
      <c r="E36" s="548"/>
      <c r="F36" s="548"/>
      <c r="G36" s="548"/>
      <c r="H36" s="548"/>
      <c r="I36" s="549"/>
      <c r="J36" s="101"/>
      <c r="K36" s="547">
        <v>141.66</v>
      </c>
      <c r="L36" s="548"/>
      <c r="M36" s="548"/>
      <c r="N36" s="548"/>
      <c r="O36" s="548"/>
      <c r="P36" s="549"/>
      <c r="Q36" s="98"/>
      <c r="R36" s="472">
        <f t="shared" si="2"/>
        <v>0.80229007633587801</v>
      </c>
      <c r="S36" s="473"/>
      <c r="T36" s="473"/>
      <c r="U36" s="473"/>
      <c r="V36" s="473"/>
      <c r="W36" s="474"/>
      <c r="X36" s="22"/>
    </row>
    <row r="37" spans="1:24" ht="11.25" customHeight="1" x14ac:dyDescent="0.2">
      <c r="B37" s="425" t="s">
        <v>35</v>
      </c>
      <c r="C37" s="22"/>
      <c r="D37" s="547">
        <v>81</v>
      </c>
      <c r="E37" s="548"/>
      <c r="F37" s="548"/>
      <c r="G37" s="548"/>
      <c r="H37" s="548"/>
      <c r="I37" s="549"/>
      <c r="J37" s="101"/>
      <c r="K37" s="547">
        <v>144.32</v>
      </c>
      <c r="L37" s="548"/>
      <c r="M37" s="548"/>
      <c r="N37" s="548"/>
      <c r="O37" s="548"/>
      <c r="P37" s="549"/>
      <c r="Q37" s="98"/>
      <c r="R37" s="472">
        <f t="shared" si="2"/>
        <v>0.78172839506172842</v>
      </c>
      <c r="S37" s="473"/>
      <c r="T37" s="473"/>
      <c r="U37" s="473"/>
      <c r="V37" s="473"/>
      <c r="W37" s="474"/>
      <c r="X37" s="22"/>
    </row>
    <row r="38" spans="1:24" ht="11.25" customHeight="1" x14ac:dyDescent="0.2">
      <c r="B38" s="425" t="s">
        <v>36</v>
      </c>
      <c r="C38" s="22"/>
      <c r="D38" s="547">
        <v>193.56</v>
      </c>
      <c r="E38" s="548"/>
      <c r="F38" s="548"/>
      <c r="G38" s="548"/>
      <c r="H38" s="548"/>
      <c r="I38" s="549"/>
      <c r="J38" s="101"/>
      <c r="K38" s="547">
        <v>261.08</v>
      </c>
      <c r="L38" s="548"/>
      <c r="M38" s="548"/>
      <c r="N38" s="548"/>
      <c r="O38" s="548"/>
      <c r="P38" s="549"/>
      <c r="Q38" s="98"/>
      <c r="R38" s="472">
        <f t="shared" si="2"/>
        <v>0.34883240338912991</v>
      </c>
      <c r="S38" s="473"/>
      <c r="T38" s="473"/>
      <c r="U38" s="473"/>
      <c r="V38" s="473"/>
      <c r="W38" s="474"/>
      <c r="X38" s="22"/>
    </row>
    <row r="39" spans="1:24" ht="11.25" customHeight="1" x14ac:dyDescent="0.2">
      <c r="B39" s="425" t="s">
        <v>37</v>
      </c>
      <c r="C39" s="22"/>
      <c r="D39" s="547">
        <v>201.96</v>
      </c>
      <c r="E39" s="548"/>
      <c r="F39" s="548"/>
      <c r="G39" s="548"/>
      <c r="H39" s="548"/>
      <c r="I39" s="549"/>
      <c r="J39" s="101"/>
      <c r="K39" s="547">
        <v>269.06</v>
      </c>
      <c r="L39" s="548"/>
      <c r="M39" s="548"/>
      <c r="N39" s="548"/>
      <c r="O39" s="548"/>
      <c r="P39" s="549"/>
      <c r="Q39" s="98"/>
      <c r="R39" s="472">
        <f t="shared" si="2"/>
        <v>0.33224400871459681</v>
      </c>
      <c r="S39" s="473"/>
      <c r="T39" s="473"/>
      <c r="U39" s="473"/>
      <c r="V39" s="473"/>
      <c r="W39" s="474"/>
      <c r="X39" s="22"/>
    </row>
    <row r="40" spans="1:24" ht="11.25" customHeight="1" x14ac:dyDescent="0.2">
      <c r="B40" s="426" t="s">
        <v>38</v>
      </c>
      <c r="C40" s="22"/>
      <c r="D40" s="541">
        <v>210.96</v>
      </c>
      <c r="E40" s="542"/>
      <c r="F40" s="542"/>
      <c r="G40" s="542"/>
      <c r="H40" s="542"/>
      <c r="I40" s="543"/>
      <c r="J40" s="101"/>
      <c r="K40" s="541">
        <v>277.44</v>
      </c>
      <c r="L40" s="542"/>
      <c r="M40" s="542"/>
      <c r="N40" s="542"/>
      <c r="O40" s="542"/>
      <c r="P40" s="543"/>
      <c r="Q40" s="98"/>
      <c r="R40" s="475">
        <f t="shared" si="2"/>
        <v>0.31513083048919222</v>
      </c>
      <c r="S40" s="476"/>
      <c r="T40" s="476"/>
      <c r="U40" s="476"/>
      <c r="V40" s="476"/>
      <c r="W40" s="477"/>
      <c r="X40" s="22"/>
    </row>
    <row r="41" spans="1:24" s="11" customFormat="1" ht="5.0999999999999996" customHeight="1" x14ac:dyDescent="0.2">
      <c r="B41" s="421"/>
      <c r="D41" s="13"/>
      <c r="E41" s="13"/>
      <c r="F41" s="13"/>
      <c r="G41" s="13"/>
      <c r="H41" s="13"/>
      <c r="I41" s="13"/>
      <c r="J41" s="13"/>
      <c r="K41" s="12"/>
      <c r="L41" s="13"/>
      <c r="M41" s="13"/>
      <c r="N41" s="12"/>
      <c r="O41" s="13"/>
      <c r="P41" s="13"/>
      <c r="Q41" s="13"/>
      <c r="R41" s="7"/>
      <c r="S41" s="7"/>
      <c r="T41" s="7"/>
      <c r="U41" s="7"/>
      <c r="V41" s="7"/>
      <c r="W41" s="7"/>
    </row>
    <row r="42" spans="1:24" s="32" customFormat="1" ht="11.25" customHeight="1" x14ac:dyDescent="0.2">
      <c r="A42" s="29"/>
      <c r="B42" s="427" t="s">
        <v>39</v>
      </c>
      <c r="C42" s="29"/>
      <c r="D42" s="498" t="s">
        <v>40</v>
      </c>
      <c r="E42" s="499"/>
      <c r="F42" s="499"/>
      <c r="G42" s="499"/>
      <c r="H42" s="499"/>
      <c r="I42" s="500"/>
      <c r="J42" s="30"/>
      <c r="K42" s="478" t="s">
        <v>41</v>
      </c>
      <c r="L42" s="479"/>
      <c r="M42" s="479"/>
      <c r="N42" s="479"/>
      <c r="O42" s="479"/>
      <c r="P42" s="480"/>
      <c r="Q42" s="31"/>
      <c r="R42" s="501" t="s">
        <v>42</v>
      </c>
      <c r="S42" s="502"/>
      <c r="T42" s="502"/>
      <c r="U42" s="502"/>
      <c r="V42" s="502"/>
      <c r="W42" s="503"/>
      <c r="X42" s="29"/>
    </row>
    <row r="43" spans="1:24" s="43" customFormat="1" ht="5.0999999999999996" customHeight="1" x14ac:dyDescent="0.2">
      <c r="A43" s="15"/>
      <c r="B43" s="15"/>
      <c r="C43" s="15"/>
      <c r="D43" s="23"/>
      <c r="E43" s="23"/>
      <c r="F43" s="23"/>
      <c r="G43" s="23"/>
      <c r="H43" s="23"/>
      <c r="I43" s="23"/>
      <c r="J43" s="23"/>
      <c r="K43" s="23"/>
      <c r="L43" s="23"/>
      <c r="M43" s="23"/>
      <c r="N43" s="23"/>
      <c r="O43" s="23"/>
      <c r="P43" s="23"/>
      <c r="Q43" s="23"/>
      <c r="R43" s="44"/>
      <c r="S43" s="44"/>
      <c r="T43" s="44"/>
      <c r="U43" s="44"/>
      <c r="V43" s="44"/>
      <c r="W43" s="44"/>
      <c r="X43" s="15"/>
    </row>
  </sheetData>
  <mergeCells count="176">
    <mergeCell ref="V28:W28"/>
    <mergeCell ref="R26:S26"/>
    <mergeCell ref="R28:S28"/>
    <mergeCell ref="V26:W26"/>
    <mergeCell ref="B14:B16"/>
    <mergeCell ref="R13:T13"/>
    <mergeCell ref="U13:W13"/>
    <mergeCell ref="R10:T10"/>
    <mergeCell ref="U10:W10"/>
    <mergeCell ref="R11:T11"/>
    <mergeCell ref="U11:W11"/>
    <mergeCell ref="K10:M10"/>
    <mergeCell ref="N10:P10"/>
    <mergeCell ref="K11:M11"/>
    <mergeCell ref="N11:P11"/>
    <mergeCell ref="G13:I13"/>
    <mergeCell ref="N12:P12"/>
    <mergeCell ref="D12:F12"/>
    <mergeCell ref="D13:F13"/>
    <mergeCell ref="R14:W15"/>
    <mergeCell ref="R16:W16"/>
    <mergeCell ref="K12:M12"/>
    <mergeCell ref="G12:I12"/>
    <mergeCell ref="R20:S20"/>
    <mergeCell ref="R25:S25"/>
    <mergeCell ref="R18:S18"/>
    <mergeCell ref="T18:U18"/>
    <mergeCell ref="V18:W18"/>
    <mergeCell ref="R21:S21"/>
    <mergeCell ref="R23:S23"/>
    <mergeCell ref="V21:W21"/>
    <mergeCell ref="V23:W23"/>
    <mergeCell ref="R8:T8"/>
    <mergeCell ref="U8:W8"/>
    <mergeCell ref="R2:W2"/>
    <mergeCell ref="R4:T4"/>
    <mergeCell ref="U4:W4"/>
    <mergeCell ref="R5:T5"/>
    <mergeCell ref="U5:W5"/>
    <mergeCell ref="R12:T12"/>
    <mergeCell ref="U12:W12"/>
    <mergeCell ref="R9:T9"/>
    <mergeCell ref="U9:W9"/>
    <mergeCell ref="R7:T7"/>
    <mergeCell ref="U7:W7"/>
    <mergeCell ref="K40:P40"/>
    <mergeCell ref="D35:I35"/>
    <mergeCell ref="D36:I36"/>
    <mergeCell ref="D37:I37"/>
    <mergeCell ref="D38:I38"/>
    <mergeCell ref="D39:I39"/>
    <mergeCell ref="D40:I40"/>
    <mergeCell ref="K35:P35"/>
    <mergeCell ref="K36:P36"/>
    <mergeCell ref="K37:P37"/>
    <mergeCell ref="K38:P38"/>
    <mergeCell ref="K39:P39"/>
    <mergeCell ref="D5:F5"/>
    <mergeCell ref="H26:I26"/>
    <mergeCell ref="K25:L25"/>
    <mergeCell ref="D11:F11"/>
    <mergeCell ref="G11:I11"/>
    <mergeCell ref="D26:E26"/>
    <mergeCell ref="H21:I21"/>
    <mergeCell ref="O21:P21"/>
    <mergeCell ref="H29:I29"/>
    <mergeCell ref="O26:P26"/>
    <mergeCell ref="K13:M13"/>
    <mergeCell ref="N13:P13"/>
    <mergeCell ref="N8:P8"/>
    <mergeCell ref="K9:M9"/>
    <mergeCell ref="N9:P9"/>
    <mergeCell ref="K8:M8"/>
    <mergeCell ref="D9:F9"/>
    <mergeCell ref="G9:I9"/>
    <mergeCell ref="D10:F10"/>
    <mergeCell ref="G10:I10"/>
    <mergeCell ref="H27:I27"/>
    <mergeCell ref="D28:E28"/>
    <mergeCell ref="H28:I28"/>
    <mergeCell ref="K2:P2"/>
    <mergeCell ref="D2:I2"/>
    <mergeCell ref="K20:L20"/>
    <mergeCell ref="K18:L18"/>
    <mergeCell ref="M18:N18"/>
    <mergeCell ref="O18:P18"/>
    <mergeCell ref="D18:E18"/>
    <mergeCell ref="F18:G18"/>
    <mergeCell ref="H18:I18"/>
    <mergeCell ref="K4:M4"/>
    <mergeCell ref="N4:P4"/>
    <mergeCell ref="D4:F4"/>
    <mergeCell ref="G4:I4"/>
    <mergeCell ref="K5:M5"/>
    <mergeCell ref="K7:M7"/>
    <mergeCell ref="N7:P7"/>
    <mergeCell ref="D7:F7"/>
    <mergeCell ref="G5:I5"/>
    <mergeCell ref="D6:F6"/>
    <mergeCell ref="G6:I6"/>
    <mergeCell ref="D8:F8"/>
    <mergeCell ref="G8:I8"/>
    <mergeCell ref="G7:I7"/>
    <mergeCell ref="N5:P5"/>
    <mergeCell ref="R37:W37"/>
    <mergeCell ref="D24:E24"/>
    <mergeCell ref="K24:L24"/>
    <mergeCell ref="D27:E27"/>
    <mergeCell ref="D29:E29"/>
    <mergeCell ref="K27:L27"/>
    <mergeCell ref="K29:L29"/>
    <mergeCell ref="R22:W22"/>
    <mergeCell ref="R24:W24"/>
    <mergeCell ref="H22:I22"/>
    <mergeCell ref="O22:P22"/>
    <mergeCell ref="H23:I23"/>
    <mergeCell ref="O23:P23"/>
    <mergeCell ref="H24:I24"/>
    <mergeCell ref="O24:P24"/>
    <mergeCell ref="K28:L28"/>
    <mergeCell ref="K26:L26"/>
    <mergeCell ref="R30:W30"/>
    <mergeCell ref="R31:W31"/>
    <mergeCell ref="R33:W33"/>
    <mergeCell ref="R35:W35"/>
    <mergeCell ref="R36:W36"/>
    <mergeCell ref="R27:W27"/>
    <mergeCell ref="R29:W29"/>
    <mergeCell ref="R38:W38"/>
    <mergeCell ref="R39:W39"/>
    <mergeCell ref="R40:W40"/>
    <mergeCell ref="K42:P42"/>
    <mergeCell ref="K31:P31"/>
    <mergeCell ref="K33:P33"/>
    <mergeCell ref="D31:I31"/>
    <mergeCell ref="D33:I33"/>
    <mergeCell ref="K6:M6"/>
    <mergeCell ref="N6:P6"/>
    <mergeCell ref="R6:T6"/>
    <mergeCell ref="U6:W6"/>
    <mergeCell ref="K14:P15"/>
    <mergeCell ref="K16:P16"/>
    <mergeCell ref="D42:I42"/>
    <mergeCell ref="R42:W42"/>
    <mergeCell ref="F20:I20"/>
    <mergeCell ref="M20:P20"/>
    <mergeCell ref="T20:W20"/>
    <mergeCell ref="F25:I25"/>
    <mergeCell ref="M25:P25"/>
    <mergeCell ref="T25:W25"/>
    <mergeCell ref="D22:E22"/>
    <mergeCell ref="K22:L22"/>
    <mergeCell ref="B18:B19"/>
    <mergeCell ref="K30:P30"/>
    <mergeCell ref="D30:I30"/>
    <mergeCell ref="D32:I32"/>
    <mergeCell ref="K32:P32"/>
    <mergeCell ref="R32:W32"/>
    <mergeCell ref="D34:I34"/>
    <mergeCell ref="K34:P34"/>
    <mergeCell ref="R34:W34"/>
    <mergeCell ref="D20:E20"/>
    <mergeCell ref="D25:E25"/>
    <mergeCell ref="D21:E21"/>
    <mergeCell ref="B21:B22"/>
    <mergeCell ref="B23:B24"/>
    <mergeCell ref="B26:B27"/>
    <mergeCell ref="B28:B29"/>
    <mergeCell ref="B31:B32"/>
    <mergeCell ref="B33:B34"/>
    <mergeCell ref="O27:P27"/>
    <mergeCell ref="O28:P28"/>
    <mergeCell ref="O29:P29"/>
    <mergeCell ref="D23:E23"/>
    <mergeCell ref="K21:L21"/>
    <mergeCell ref="K23:L23"/>
  </mergeCells>
  <pageMargins left="7.874015748031496E-2" right="7.874015748031496E-2" top="0.94488188976377963" bottom="0.6692913385826772" header="0.31496062992125984" footer="0.31496062992125984"/>
  <pageSetup paperSize="9" scale="99" fitToHeight="3" orientation="landscape" verticalDpi="12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28"/>
  <sheetViews>
    <sheetView showGridLines="0" zoomScaleNormal="100" workbookViewId="0"/>
  </sheetViews>
  <sheetFormatPr baseColWidth="10" defaultColWidth="11.42578125" defaultRowHeight="11.25" x14ac:dyDescent="0.2"/>
  <cols>
    <col min="1" max="1" width="0.85546875" style="299" customWidth="1"/>
    <col min="2" max="16384" width="11.42578125" style="299"/>
  </cols>
  <sheetData>
    <row r="1" spans="1:23" s="34" customFormat="1" ht="11.25" customHeight="1" x14ac:dyDescent="0.2">
      <c r="A1" s="43"/>
      <c r="B1" s="942" t="s">
        <v>163</v>
      </c>
      <c r="C1" s="943"/>
      <c r="D1" s="943"/>
      <c r="E1" s="943"/>
      <c r="F1" s="943"/>
      <c r="G1" s="943"/>
      <c r="H1" s="943"/>
      <c r="I1" s="943"/>
      <c r="J1" s="943"/>
      <c r="K1" s="943"/>
      <c r="L1" s="943"/>
      <c r="M1" s="943"/>
      <c r="N1" s="943"/>
      <c r="O1" s="943"/>
      <c r="P1" s="943"/>
      <c r="Q1" s="943"/>
      <c r="R1" s="943"/>
      <c r="S1" s="943"/>
      <c r="T1" s="943"/>
      <c r="U1" s="943"/>
      <c r="V1" s="943"/>
      <c r="W1" s="943"/>
    </row>
    <row r="2" spans="1:23" s="34" customFormat="1" ht="11.25" customHeight="1" x14ac:dyDescent="0.2">
      <c r="A2" s="43"/>
      <c r="B2" s="943"/>
      <c r="C2" s="943"/>
      <c r="D2" s="943"/>
      <c r="E2" s="943"/>
      <c r="F2" s="943"/>
      <c r="G2" s="943"/>
      <c r="H2" s="943"/>
      <c r="I2" s="943"/>
      <c r="J2" s="943"/>
      <c r="K2" s="943"/>
      <c r="L2" s="943"/>
      <c r="M2" s="943"/>
      <c r="N2" s="943"/>
      <c r="O2" s="943"/>
      <c r="P2" s="943"/>
      <c r="Q2" s="943"/>
      <c r="R2" s="943"/>
      <c r="S2" s="943"/>
      <c r="T2" s="943"/>
      <c r="U2" s="943"/>
      <c r="V2" s="943"/>
      <c r="W2" s="943"/>
    </row>
    <row r="3" spans="1:23" s="34" customFormat="1" ht="11.25" customHeight="1" x14ac:dyDescent="0.2">
      <c r="A3" s="43"/>
      <c r="B3" s="943"/>
      <c r="C3" s="943"/>
      <c r="D3" s="943"/>
      <c r="E3" s="943"/>
      <c r="F3" s="943"/>
      <c r="G3" s="943"/>
      <c r="H3" s="943"/>
      <c r="I3" s="943"/>
      <c r="J3" s="943"/>
      <c r="K3" s="943"/>
      <c r="L3" s="943"/>
      <c r="M3" s="943"/>
      <c r="N3" s="943"/>
      <c r="O3" s="943"/>
      <c r="P3" s="943"/>
      <c r="Q3" s="943"/>
      <c r="R3" s="943"/>
      <c r="S3" s="943"/>
      <c r="T3" s="943"/>
      <c r="U3" s="943"/>
      <c r="V3" s="943"/>
      <c r="W3" s="943"/>
    </row>
    <row r="4" spans="1:23" s="34" customFormat="1" ht="11.25" customHeight="1" x14ac:dyDescent="0.2">
      <c r="A4" s="43"/>
      <c r="B4" s="943"/>
      <c r="C4" s="943"/>
      <c r="D4" s="943"/>
      <c r="E4" s="943"/>
      <c r="F4" s="943"/>
      <c r="G4" s="943"/>
      <c r="H4" s="943"/>
      <c r="I4" s="943"/>
      <c r="J4" s="943"/>
      <c r="K4" s="943"/>
      <c r="L4" s="943"/>
      <c r="M4" s="943"/>
      <c r="N4" s="943"/>
      <c r="O4" s="943"/>
      <c r="P4" s="943"/>
      <c r="Q4" s="943"/>
      <c r="R4" s="943"/>
      <c r="S4" s="943"/>
      <c r="T4" s="943"/>
      <c r="U4" s="943"/>
      <c r="V4" s="943"/>
      <c r="W4" s="943"/>
    </row>
    <row r="5" spans="1:23" s="34" customFormat="1" ht="11.25" customHeight="1" x14ac:dyDescent="0.2">
      <c r="A5" s="43"/>
      <c r="B5" s="943"/>
      <c r="C5" s="943"/>
      <c r="D5" s="943"/>
      <c r="E5" s="943"/>
      <c r="F5" s="943"/>
      <c r="G5" s="943"/>
      <c r="H5" s="943"/>
      <c r="I5" s="943"/>
      <c r="J5" s="943"/>
      <c r="K5" s="943"/>
      <c r="L5" s="943"/>
      <c r="M5" s="943"/>
      <c r="N5" s="943"/>
      <c r="O5" s="943"/>
      <c r="P5" s="943"/>
      <c r="Q5" s="943"/>
      <c r="R5" s="943"/>
      <c r="S5" s="943"/>
      <c r="T5" s="943"/>
      <c r="U5" s="943"/>
      <c r="V5" s="943"/>
      <c r="W5" s="943"/>
    </row>
    <row r="6" spans="1:23" s="34" customFormat="1" ht="11.25" customHeight="1" x14ac:dyDescent="0.2">
      <c r="A6" s="43"/>
      <c r="B6" s="943"/>
      <c r="C6" s="943"/>
      <c r="D6" s="943"/>
      <c r="E6" s="943"/>
      <c r="F6" s="943"/>
      <c r="G6" s="943"/>
      <c r="H6" s="943"/>
      <c r="I6" s="943"/>
      <c r="J6" s="943"/>
      <c r="K6" s="943"/>
      <c r="L6" s="943"/>
      <c r="M6" s="943"/>
      <c r="N6" s="943"/>
      <c r="O6" s="943"/>
      <c r="P6" s="943"/>
      <c r="Q6" s="943"/>
      <c r="R6" s="943"/>
      <c r="S6" s="943"/>
      <c r="T6" s="943"/>
      <c r="U6" s="943"/>
      <c r="V6" s="943"/>
      <c r="W6" s="943"/>
    </row>
    <row r="7" spans="1:23" s="34" customFormat="1" ht="11.25" customHeight="1" x14ac:dyDescent="0.2">
      <c r="A7" s="43"/>
      <c r="B7" s="943"/>
      <c r="C7" s="943"/>
      <c r="D7" s="943"/>
      <c r="E7" s="943"/>
      <c r="F7" s="943"/>
      <c r="G7" s="943"/>
      <c r="H7" s="943"/>
      <c r="I7" s="943"/>
      <c r="J7" s="943"/>
      <c r="K7" s="943"/>
      <c r="L7" s="943"/>
      <c r="M7" s="943"/>
      <c r="N7" s="943"/>
      <c r="O7" s="943"/>
      <c r="P7" s="943"/>
      <c r="Q7" s="943"/>
      <c r="R7" s="943"/>
      <c r="S7" s="943"/>
      <c r="T7" s="943"/>
      <c r="U7" s="943"/>
      <c r="V7" s="943"/>
      <c r="W7" s="943"/>
    </row>
    <row r="8" spans="1:23" s="34" customFormat="1" ht="11.25" customHeight="1" x14ac:dyDescent="0.2">
      <c r="A8" s="43"/>
      <c r="B8" s="943"/>
      <c r="C8" s="943"/>
      <c r="D8" s="943"/>
      <c r="E8" s="943"/>
      <c r="F8" s="943"/>
      <c r="G8" s="943"/>
      <c r="H8" s="943"/>
      <c r="I8" s="943"/>
      <c r="J8" s="943"/>
      <c r="K8" s="943"/>
      <c r="L8" s="943"/>
      <c r="M8" s="943"/>
      <c r="N8" s="943"/>
      <c r="O8" s="943"/>
      <c r="P8" s="943"/>
      <c r="Q8" s="943"/>
      <c r="R8" s="943"/>
      <c r="S8" s="943"/>
      <c r="T8" s="943"/>
      <c r="U8" s="943"/>
      <c r="V8" s="943"/>
      <c r="W8" s="943"/>
    </row>
    <row r="9" spans="1:23" s="34" customFormat="1" ht="11.25" customHeight="1" x14ac:dyDescent="0.2">
      <c r="A9" s="43"/>
      <c r="B9" s="943"/>
      <c r="C9" s="943"/>
      <c r="D9" s="943"/>
      <c r="E9" s="943"/>
      <c r="F9" s="943"/>
      <c r="G9" s="943"/>
      <c r="H9" s="943"/>
      <c r="I9" s="943"/>
      <c r="J9" s="943"/>
      <c r="K9" s="943"/>
      <c r="L9" s="943"/>
      <c r="M9" s="943"/>
      <c r="N9" s="943"/>
      <c r="O9" s="943"/>
      <c r="P9" s="943"/>
      <c r="Q9" s="943"/>
      <c r="R9" s="943"/>
      <c r="S9" s="943"/>
      <c r="T9" s="943"/>
      <c r="U9" s="943"/>
      <c r="V9" s="943"/>
      <c r="W9" s="943"/>
    </row>
    <row r="10" spans="1:23" s="34" customFormat="1" ht="11.25" customHeight="1" x14ac:dyDescent="0.2">
      <c r="A10" s="43"/>
      <c r="B10" s="943"/>
      <c r="C10" s="943"/>
      <c r="D10" s="943"/>
      <c r="E10" s="943"/>
      <c r="F10" s="943"/>
      <c r="G10" s="943"/>
      <c r="H10" s="943"/>
      <c r="I10" s="943"/>
      <c r="J10" s="943"/>
      <c r="K10" s="943"/>
      <c r="L10" s="943"/>
      <c r="M10" s="943"/>
      <c r="N10" s="943"/>
      <c r="O10" s="943"/>
      <c r="P10" s="943"/>
      <c r="Q10" s="943"/>
      <c r="R10" s="943"/>
      <c r="S10" s="943"/>
      <c r="T10" s="943"/>
      <c r="U10" s="943"/>
      <c r="V10" s="943"/>
      <c r="W10" s="943"/>
    </row>
    <row r="11" spans="1:23" s="34" customFormat="1" ht="11.25" customHeight="1" x14ac:dyDescent="0.2">
      <c r="A11" s="43"/>
      <c r="B11" s="943"/>
      <c r="C11" s="943"/>
      <c r="D11" s="943"/>
      <c r="E11" s="943"/>
      <c r="F11" s="943"/>
      <c r="G11" s="943"/>
      <c r="H11" s="943"/>
      <c r="I11" s="943"/>
      <c r="J11" s="943"/>
      <c r="K11" s="943"/>
      <c r="L11" s="943"/>
      <c r="M11" s="943"/>
      <c r="N11" s="943"/>
      <c r="O11" s="943"/>
      <c r="P11" s="943"/>
      <c r="Q11" s="943"/>
      <c r="R11" s="943"/>
      <c r="S11" s="943"/>
      <c r="T11" s="943"/>
      <c r="U11" s="943"/>
      <c r="V11" s="943"/>
      <c r="W11" s="943"/>
    </row>
    <row r="12" spans="1:23" s="34" customFormat="1" ht="5.0999999999999996" customHeight="1" x14ac:dyDescent="0.2">
      <c r="A12" s="43"/>
      <c r="B12" s="351"/>
      <c r="C12" s="351"/>
      <c r="D12" s="351"/>
      <c r="E12" s="351"/>
      <c r="F12" s="351"/>
      <c r="G12" s="351"/>
      <c r="H12" s="351"/>
      <c r="I12" s="351"/>
      <c r="J12" s="351"/>
      <c r="K12" s="351"/>
      <c r="L12" s="351"/>
      <c r="M12" s="351"/>
      <c r="N12" s="351"/>
      <c r="O12" s="351"/>
      <c r="P12" s="351"/>
      <c r="Q12" s="351"/>
      <c r="R12" s="351"/>
      <c r="S12" s="351"/>
      <c r="T12" s="351"/>
      <c r="U12" s="351"/>
      <c r="V12" s="351"/>
      <c r="W12" s="351"/>
    </row>
    <row r="13" spans="1:23" s="34" customFormat="1" ht="11.25" customHeight="1" x14ac:dyDescent="0.2">
      <c r="A13" s="43"/>
      <c r="B13" s="942" t="s">
        <v>164</v>
      </c>
      <c r="C13" s="943"/>
      <c r="D13" s="943"/>
      <c r="E13" s="943"/>
      <c r="F13" s="943"/>
      <c r="G13" s="943"/>
      <c r="H13" s="943"/>
      <c r="I13" s="943"/>
      <c r="J13" s="943"/>
      <c r="K13" s="943"/>
      <c r="L13" s="943"/>
      <c r="M13" s="943"/>
      <c r="N13" s="943"/>
      <c r="O13" s="943"/>
      <c r="P13" s="943"/>
      <c r="Q13" s="943"/>
      <c r="R13" s="943"/>
      <c r="S13" s="943"/>
      <c r="T13" s="943"/>
      <c r="U13" s="943"/>
      <c r="V13" s="943"/>
      <c r="W13" s="943"/>
    </row>
    <row r="14" spans="1:23" s="34" customFormat="1" ht="11.25" customHeight="1" x14ac:dyDescent="0.2">
      <c r="A14" s="43"/>
      <c r="B14" s="943"/>
      <c r="C14" s="943"/>
      <c r="D14" s="943"/>
      <c r="E14" s="943"/>
      <c r="F14" s="943"/>
      <c r="G14" s="943"/>
      <c r="H14" s="943"/>
      <c r="I14" s="943"/>
      <c r="J14" s="943"/>
      <c r="K14" s="943"/>
      <c r="L14" s="943"/>
      <c r="M14" s="943"/>
      <c r="N14" s="943"/>
      <c r="O14" s="943"/>
      <c r="P14" s="943"/>
      <c r="Q14" s="943"/>
      <c r="R14" s="943"/>
      <c r="S14" s="943"/>
      <c r="T14" s="943"/>
      <c r="U14" s="943"/>
      <c r="V14" s="943"/>
      <c r="W14" s="943"/>
    </row>
    <row r="15" spans="1:23" s="34" customFormat="1" ht="5.0999999999999996" customHeight="1" x14ac:dyDescent="0.2">
      <c r="A15" s="43"/>
      <c r="B15" s="351"/>
      <c r="C15" s="351"/>
      <c r="D15" s="351"/>
      <c r="E15" s="351"/>
      <c r="F15" s="351"/>
      <c r="G15" s="351"/>
      <c r="H15" s="351"/>
      <c r="I15" s="351"/>
      <c r="J15" s="351"/>
      <c r="K15" s="351"/>
      <c r="L15" s="351"/>
      <c r="M15" s="351"/>
      <c r="N15" s="351"/>
      <c r="O15" s="351"/>
      <c r="P15" s="351"/>
      <c r="Q15" s="351"/>
      <c r="R15" s="351"/>
      <c r="S15" s="351"/>
      <c r="T15" s="351"/>
      <c r="U15" s="351"/>
      <c r="V15" s="351"/>
      <c r="W15" s="351"/>
    </row>
    <row r="16" spans="1:23" s="34" customFormat="1" ht="11.25" customHeight="1" x14ac:dyDescent="0.2">
      <c r="A16" s="43"/>
      <c r="B16" s="942" t="s">
        <v>165</v>
      </c>
      <c r="C16" s="943"/>
      <c r="D16" s="943"/>
      <c r="E16" s="943"/>
      <c r="F16" s="943"/>
      <c r="G16" s="943"/>
      <c r="H16" s="943"/>
      <c r="I16" s="943"/>
      <c r="J16" s="943"/>
      <c r="K16" s="943"/>
      <c r="L16" s="943"/>
      <c r="M16" s="943"/>
      <c r="N16" s="943"/>
      <c r="O16" s="943"/>
      <c r="P16" s="943"/>
      <c r="Q16" s="943"/>
      <c r="R16" s="943"/>
      <c r="S16" s="943"/>
      <c r="T16" s="943"/>
      <c r="U16" s="943"/>
      <c r="V16" s="943"/>
      <c r="W16" s="943"/>
    </row>
    <row r="17" spans="1:24" s="34" customFormat="1" ht="11.25" customHeight="1" x14ac:dyDescent="0.2">
      <c r="A17" s="43"/>
      <c r="B17" s="943"/>
      <c r="C17" s="943"/>
      <c r="D17" s="943"/>
      <c r="E17" s="943"/>
      <c r="F17" s="943"/>
      <c r="G17" s="943"/>
      <c r="H17" s="943"/>
      <c r="I17" s="943"/>
      <c r="J17" s="943"/>
      <c r="K17" s="943"/>
      <c r="L17" s="943"/>
      <c r="M17" s="943"/>
      <c r="N17" s="943"/>
      <c r="O17" s="943"/>
      <c r="P17" s="943"/>
      <c r="Q17" s="943"/>
      <c r="R17" s="943"/>
      <c r="S17" s="943"/>
      <c r="T17" s="943"/>
      <c r="U17" s="943"/>
      <c r="V17" s="943"/>
      <c r="W17" s="943"/>
    </row>
    <row r="18" spans="1:24" s="34" customFormat="1" ht="11.25" customHeight="1" x14ac:dyDescent="0.2">
      <c r="A18" s="43"/>
      <c r="B18" s="943"/>
      <c r="C18" s="943"/>
      <c r="D18" s="943"/>
      <c r="E18" s="943"/>
      <c r="F18" s="943"/>
      <c r="G18" s="943"/>
      <c r="H18" s="943"/>
      <c r="I18" s="943"/>
      <c r="J18" s="943"/>
      <c r="K18" s="943"/>
      <c r="L18" s="943"/>
      <c r="M18" s="943"/>
      <c r="N18" s="943"/>
      <c r="O18" s="943"/>
      <c r="P18" s="943"/>
      <c r="Q18" s="943"/>
      <c r="R18" s="943"/>
      <c r="S18" s="943"/>
      <c r="T18" s="943"/>
      <c r="U18" s="943"/>
      <c r="V18" s="943"/>
      <c r="W18" s="943"/>
    </row>
    <row r="19" spans="1:24" s="34" customFormat="1" ht="11.25" customHeight="1" x14ac:dyDescent="0.2">
      <c r="A19" s="43"/>
      <c r="B19" s="943"/>
      <c r="C19" s="943"/>
      <c r="D19" s="943"/>
      <c r="E19" s="943"/>
      <c r="F19" s="943"/>
      <c r="G19" s="943"/>
      <c r="H19" s="943"/>
      <c r="I19" s="943"/>
      <c r="J19" s="943"/>
      <c r="K19" s="943"/>
      <c r="L19" s="943"/>
      <c r="M19" s="943"/>
      <c r="N19" s="943"/>
      <c r="O19" s="943"/>
      <c r="P19" s="943"/>
      <c r="Q19" s="943"/>
      <c r="R19" s="943"/>
      <c r="S19" s="943"/>
      <c r="T19" s="943"/>
      <c r="U19" s="943"/>
      <c r="V19" s="943"/>
      <c r="W19" s="943"/>
    </row>
    <row r="20" spans="1:24" s="34" customFormat="1" ht="11.25" customHeight="1" x14ac:dyDescent="0.2">
      <c r="A20" s="43"/>
      <c r="B20" s="943"/>
      <c r="C20" s="943"/>
      <c r="D20" s="943"/>
      <c r="E20" s="943"/>
      <c r="F20" s="943"/>
      <c r="G20" s="943"/>
      <c r="H20" s="943"/>
      <c r="I20" s="943"/>
      <c r="J20" s="943"/>
      <c r="K20" s="943"/>
      <c r="L20" s="943"/>
      <c r="M20" s="943"/>
      <c r="N20" s="943"/>
      <c r="O20" s="943"/>
      <c r="P20" s="943"/>
      <c r="Q20" s="943"/>
      <c r="R20" s="943"/>
      <c r="S20" s="943"/>
      <c r="T20" s="943"/>
      <c r="U20" s="943"/>
      <c r="V20" s="943"/>
      <c r="W20" s="943"/>
    </row>
    <row r="21" spans="1:24" s="34" customFormat="1" ht="11.25" customHeight="1" x14ac:dyDescent="0.2">
      <c r="A21" s="43"/>
      <c r="B21" s="943"/>
      <c r="C21" s="943"/>
      <c r="D21" s="943"/>
      <c r="E21" s="943"/>
      <c r="F21" s="943"/>
      <c r="G21" s="943"/>
      <c r="H21" s="943"/>
      <c r="I21" s="943"/>
      <c r="J21" s="943"/>
      <c r="K21" s="943"/>
      <c r="L21" s="943"/>
      <c r="M21" s="943"/>
      <c r="N21" s="943"/>
      <c r="O21" s="943"/>
      <c r="P21" s="943"/>
      <c r="Q21" s="943"/>
      <c r="R21" s="943"/>
      <c r="S21" s="943"/>
      <c r="T21" s="943"/>
      <c r="U21" s="943"/>
      <c r="V21" s="943"/>
      <c r="W21" s="943"/>
    </row>
    <row r="22" spans="1:24" s="34" customFormat="1" ht="11.25" customHeight="1" x14ac:dyDescent="0.2">
      <c r="A22" s="43"/>
      <c r="B22" s="943"/>
      <c r="C22" s="943"/>
      <c r="D22" s="943"/>
      <c r="E22" s="943"/>
      <c r="F22" s="943"/>
      <c r="G22" s="943"/>
      <c r="H22" s="943"/>
      <c r="I22" s="943"/>
      <c r="J22" s="943"/>
      <c r="K22" s="943"/>
      <c r="L22" s="943"/>
      <c r="M22" s="943"/>
      <c r="N22" s="943"/>
      <c r="O22" s="943"/>
      <c r="P22" s="943"/>
      <c r="Q22" s="943"/>
      <c r="R22" s="943"/>
      <c r="S22" s="943"/>
      <c r="T22" s="943"/>
      <c r="U22" s="943"/>
      <c r="V22" s="943"/>
      <c r="W22" s="943"/>
    </row>
    <row r="23" spans="1:24" s="34" customFormat="1" ht="5.0999999999999996" customHeight="1" x14ac:dyDescent="0.2">
      <c r="A23" s="43"/>
      <c r="B23" s="351"/>
      <c r="C23" s="351"/>
      <c r="D23" s="351"/>
      <c r="E23" s="351"/>
      <c r="F23" s="351"/>
      <c r="G23" s="351"/>
      <c r="H23" s="351"/>
      <c r="I23" s="351"/>
      <c r="J23" s="351"/>
      <c r="K23" s="351"/>
      <c r="L23" s="351"/>
      <c r="M23" s="351"/>
      <c r="N23" s="351"/>
      <c r="O23" s="351"/>
      <c r="P23" s="351"/>
      <c r="Q23" s="351"/>
      <c r="R23" s="351"/>
      <c r="S23" s="351"/>
      <c r="T23" s="351"/>
      <c r="U23" s="351"/>
      <c r="V23" s="351"/>
      <c r="W23" s="351"/>
    </row>
    <row r="24" spans="1:24" s="34" customFormat="1" ht="11.25" customHeight="1" x14ac:dyDescent="0.2">
      <c r="A24" s="43"/>
      <c r="B24" s="942" t="s">
        <v>166</v>
      </c>
      <c r="C24" s="943"/>
      <c r="D24" s="943"/>
      <c r="E24" s="943"/>
      <c r="F24" s="943"/>
      <c r="G24" s="943"/>
      <c r="H24" s="943"/>
      <c r="I24" s="943"/>
      <c r="J24" s="943"/>
      <c r="K24" s="943"/>
      <c r="L24" s="943"/>
      <c r="M24" s="943"/>
      <c r="N24" s="943"/>
      <c r="O24" s="943"/>
      <c r="P24" s="943"/>
      <c r="Q24" s="943"/>
      <c r="R24" s="943"/>
      <c r="S24" s="943"/>
      <c r="T24" s="943"/>
      <c r="U24" s="943"/>
      <c r="V24" s="943"/>
      <c r="W24" s="943"/>
    </row>
    <row r="25" spans="1:24" s="34" customFormat="1" ht="11.25" customHeight="1" x14ac:dyDescent="0.2">
      <c r="A25" s="43"/>
      <c r="B25" s="943"/>
      <c r="C25" s="943"/>
      <c r="D25" s="943"/>
      <c r="E25" s="943"/>
      <c r="F25" s="943"/>
      <c r="G25" s="943"/>
      <c r="H25" s="943"/>
      <c r="I25" s="943"/>
      <c r="J25" s="943"/>
      <c r="K25" s="943"/>
      <c r="L25" s="943"/>
      <c r="M25" s="943"/>
      <c r="N25" s="943"/>
      <c r="O25" s="943"/>
      <c r="P25" s="943"/>
      <c r="Q25" s="943"/>
      <c r="R25" s="943"/>
      <c r="S25" s="943"/>
      <c r="T25" s="943"/>
      <c r="U25" s="943"/>
      <c r="V25" s="943"/>
      <c r="W25" s="943"/>
    </row>
    <row r="26" spans="1:24" s="34" customFormat="1" ht="5.0999999999999996" customHeight="1" x14ac:dyDescent="0.2">
      <c r="A26" s="43"/>
      <c r="B26" s="351"/>
      <c r="C26" s="351"/>
      <c r="D26" s="351"/>
      <c r="E26" s="351"/>
      <c r="F26" s="351"/>
      <c r="G26" s="351"/>
      <c r="H26" s="351"/>
      <c r="I26" s="351"/>
      <c r="J26" s="351"/>
      <c r="K26" s="351"/>
      <c r="L26" s="351"/>
      <c r="M26" s="351"/>
      <c r="N26" s="351"/>
      <c r="O26" s="351"/>
      <c r="P26" s="351"/>
      <c r="Q26" s="351"/>
      <c r="R26" s="351"/>
      <c r="S26" s="351"/>
      <c r="T26" s="351"/>
      <c r="U26" s="351"/>
      <c r="V26" s="351"/>
      <c r="W26" s="351"/>
    </row>
    <row r="27" spans="1:24" s="34" customFormat="1" ht="11.25" customHeight="1" x14ac:dyDescent="0.2">
      <c r="A27" s="43"/>
      <c r="B27" s="941" t="s">
        <v>167</v>
      </c>
      <c r="C27" s="941"/>
      <c r="D27" s="941"/>
      <c r="E27" s="941"/>
      <c r="F27" s="941"/>
      <c r="G27" s="941"/>
      <c r="H27" s="941"/>
      <c r="I27" s="941"/>
      <c r="J27" s="941"/>
      <c r="K27" s="941"/>
      <c r="L27" s="941"/>
      <c r="M27" s="941"/>
      <c r="N27" s="941"/>
      <c r="O27" s="941"/>
      <c r="P27" s="941"/>
      <c r="Q27" s="941"/>
      <c r="R27" s="941"/>
      <c r="S27" s="941"/>
      <c r="T27" s="941"/>
      <c r="U27" s="941"/>
      <c r="V27" s="941"/>
      <c r="W27" s="941"/>
    </row>
    <row r="28" spans="1:24" s="34" customFormat="1" ht="5.0999999999999996" customHeight="1" x14ac:dyDescent="0.2">
      <c r="A28" s="10"/>
      <c r="C28" s="10"/>
      <c r="D28" s="26"/>
      <c r="E28" s="26"/>
      <c r="F28" s="26"/>
      <c r="G28" s="26"/>
      <c r="H28" s="26"/>
      <c r="I28" s="26"/>
      <c r="J28" s="98"/>
      <c r="K28" s="27"/>
      <c r="L28" s="27"/>
      <c r="M28" s="27"/>
      <c r="N28" s="27"/>
      <c r="O28" s="27"/>
      <c r="P28" s="27"/>
      <c r="Q28" s="99"/>
      <c r="R28" s="28"/>
      <c r="S28" s="28"/>
      <c r="T28" s="28"/>
      <c r="U28" s="28"/>
      <c r="V28" s="28"/>
      <c r="W28" s="28"/>
      <c r="X28" s="10"/>
    </row>
  </sheetData>
  <mergeCells count="5">
    <mergeCell ref="B27:W27"/>
    <mergeCell ref="B1:W11"/>
    <mergeCell ref="B13:W14"/>
    <mergeCell ref="B16:W22"/>
    <mergeCell ref="B24:W2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43"/>
  <sheetViews>
    <sheetView showGridLines="0" showZeros="0" zoomScaleNormal="100" workbookViewId="0"/>
  </sheetViews>
  <sheetFormatPr baseColWidth="10" defaultColWidth="11.42578125" defaultRowHeight="11.25" x14ac:dyDescent="0.2"/>
  <cols>
    <col min="1" max="1" width="0.85546875" style="299" customWidth="1"/>
    <col min="2" max="2" width="23" style="299" customWidth="1"/>
    <col min="3" max="3" width="0.85546875" style="299" customWidth="1"/>
    <col min="4" max="9" width="6.7109375" style="299" customWidth="1"/>
    <col min="10" max="10" width="0.85546875" style="299" customWidth="1"/>
    <col min="11" max="16" width="6.7109375" style="299" customWidth="1"/>
    <col min="17" max="17" width="0.85546875" style="299" customWidth="1"/>
    <col min="18" max="23" width="6.7109375" style="299" customWidth="1"/>
    <col min="24" max="24" width="0.85546875" style="299" customWidth="1"/>
    <col min="25" max="25" width="3.7109375" style="299" customWidth="1"/>
    <col min="26" max="16384" width="11.42578125" style="299"/>
  </cols>
  <sheetData>
    <row r="1" spans="1:28" s="43" customFormat="1" ht="5.0999999999999996" customHeight="1" x14ac:dyDescent="0.2">
      <c r="A1" s="15"/>
      <c r="B1" s="35"/>
      <c r="C1" s="15"/>
      <c r="D1" s="36"/>
      <c r="E1" s="36"/>
      <c r="F1" s="36"/>
      <c r="G1" s="36"/>
      <c r="H1" s="36"/>
      <c r="I1" s="36"/>
      <c r="J1" s="23"/>
      <c r="K1" s="36"/>
      <c r="L1" s="36"/>
      <c r="M1" s="36"/>
      <c r="N1" s="36"/>
      <c r="O1" s="36"/>
      <c r="P1" s="36"/>
      <c r="Q1" s="23"/>
      <c r="R1" s="37"/>
      <c r="S1" s="37"/>
      <c r="T1" s="37"/>
      <c r="U1" s="37"/>
      <c r="V1" s="37"/>
      <c r="W1" s="37"/>
      <c r="X1" s="15"/>
    </row>
    <row r="2" spans="1:28" s="34" customFormat="1" ht="11.25" customHeight="1" x14ac:dyDescent="0.2">
      <c r="A2" s="15"/>
      <c r="B2" s="428">
        <v>2500</v>
      </c>
      <c r="C2" s="14"/>
      <c r="D2" s="522">
        <f>tarifs!$D$2</f>
        <v>2016</v>
      </c>
      <c r="E2" s="523"/>
      <c r="F2" s="523"/>
      <c r="G2" s="523"/>
      <c r="H2" s="523"/>
      <c r="I2" s="524"/>
      <c r="J2" s="95"/>
      <c r="K2" s="522">
        <f>tarifs!$K$2</f>
        <v>2017</v>
      </c>
      <c r="L2" s="523"/>
      <c r="M2" s="523"/>
      <c r="N2" s="523"/>
      <c r="O2" s="523"/>
      <c r="P2" s="524"/>
      <c r="Q2" s="23"/>
      <c r="R2" s="619" t="s">
        <v>43</v>
      </c>
      <c r="S2" s="620"/>
      <c r="T2" s="620"/>
      <c r="U2" s="620"/>
      <c r="V2" s="620"/>
      <c r="W2" s="621"/>
      <c r="X2" s="14"/>
    </row>
    <row r="3" spans="1:28" s="34" customFormat="1" ht="5.0999999999999996" customHeight="1" x14ac:dyDescent="0.2">
      <c r="A3" s="15"/>
      <c r="B3" s="415"/>
      <c r="C3" s="15"/>
      <c r="D3" s="8"/>
      <c r="E3" s="8"/>
      <c r="F3" s="8"/>
      <c r="G3" s="8"/>
      <c r="H3" s="8"/>
      <c r="I3" s="8"/>
      <c r="J3" s="23"/>
      <c r="K3" s="8"/>
      <c r="L3" s="8"/>
      <c r="M3" s="8"/>
      <c r="N3" s="8"/>
      <c r="O3" s="8"/>
      <c r="P3" s="8"/>
      <c r="Q3" s="23"/>
      <c r="R3" s="9"/>
      <c r="S3" s="9"/>
      <c r="T3" s="9"/>
      <c r="U3" s="9"/>
      <c r="V3" s="9"/>
      <c r="W3" s="9"/>
      <c r="X3" s="15"/>
    </row>
    <row r="4" spans="1:28" s="34" customFormat="1" ht="11.25" customHeight="1" x14ac:dyDescent="0.2">
      <c r="A4" s="38"/>
      <c r="B4" s="429" t="str">
        <f>tarifs!B4</f>
        <v>santé</v>
      </c>
      <c r="C4" s="16"/>
      <c r="D4" s="528" t="str">
        <f>tarifs!D4</f>
        <v>régime général</v>
      </c>
      <c r="E4" s="529"/>
      <c r="F4" s="530"/>
      <c r="G4" s="531" t="str">
        <f>tarifs!$G$4</f>
        <v>régime local alsace moselle</v>
      </c>
      <c r="H4" s="529"/>
      <c r="I4" s="530"/>
      <c r="J4" s="98"/>
      <c r="K4" s="528" t="str">
        <f>tarifs!D4</f>
        <v>régime général</v>
      </c>
      <c r="L4" s="529"/>
      <c r="M4" s="530"/>
      <c r="N4" s="531" t="str">
        <f>tarifs!G4</f>
        <v>régime local alsace moselle</v>
      </c>
      <c r="O4" s="529"/>
      <c r="P4" s="530"/>
      <c r="Q4" s="98"/>
      <c r="R4" s="622" t="str">
        <f>tarifs!D4</f>
        <v>régime général</v>
      </c>
      <c r="S4" s="623"/>
      <c r="T4" s="624"/>
      <c r="U4" s="623" t="str">
        <f>tarifs!G4</f>
        <v>régime local alsace moselle</v>
      </c>
      <c r="V4" s="623"/>
      <c r="W4" s="624"/>
      <c r="X4" s="16"/>
    </row>
    <row r="5" spans="1:28" s="34" customFormat="1" ht="11.25" customHeight="1" x14ac:dyDescent="0.2">
      <c r="A5" s="11"/>
      <c r="B5" s="416" t="str">
        <f>tarifs!B5</f>
        <v>forfait régime famille de base</v>
      </c>
      <c r="C5" s="17"/>
      <c r="D5" s="532">
        <f>tarifs!$D$5</f>
        <v>118.17</v>
      </c>
      <c r="E5" s="533"/>
      <c r="F5" s="534"/>
      <c r="G5" s="533">
        <f>tarifs!$G$5</f>
        <v>82.17</v>
      </c>
      <c r="H5" s="533"/>
      <c r="I5" s="534"/>
      <c r="J5" s="101"/>
      <c r="K5" s="532">
        <f>tarifs!$K$5</f>
        <v>115.7</v>
      </c>
      <c r="L5" s="533"/>
      <c r="M5" s="534"/>
      <c r="N5" s="533">
        <f>tarifs!$N$5</f>
        <v>75.209999999999994</v>
      </c>
      <c r="O5" s="533"/>
      <c r="P5" s="534"/>
      <c r="Q5" s="101"/>
      <c r="R5" s="592">
        <f>(K5-D5)*12</f>
        <v>-29.639999999999986</v>
      </c>
      <c r="S5" s="593"/>
      <c r="T5" s="594"/>
      <c r="U5" s="593">
        <f>(N5-G5)*12</f>
        <v>-83.520000000000095</v>
      </c>
      <c r="V5" s="593"/>
      <c r="W5" s="594"/>
      <c r="X5" s="17"/>
      <c r="AA5" s="1"/>
      <c r="AB5" s="1"/>
    </row>
    <row r="6" spans="1:28" s="34" customFormat="1" ht="11.25" customHeight="1" x14ac:dyDescent="0.2">
      <c r="A6" s="39"/>
      <c r="B6" s="417" t="s">
        <v>29</v>
      </c>
      <c r="C6" s="18"/>
      <c r="D6" s="601">
        <f>IF($B$2*tarifs!$D$6&gt;D5*60%,D5*60%,$B$2*tarifs!$D$6)</f>
        <v>25.75</v>
      </c>
      <c r="E6" s="602"/>
      <c r="F6" s="603"/>
      <c r="G6" s="601">
        <f>IF($B$2*tarifs!$G$6&gt;G5*60%,G5*60%,$B$2*tarifs!$G$6)</f>
        <v>18.475000000000001</v>
      </c>
      <c r="H6" s="602"/>
      <c r="I6" s="603"/>
      <c r="J6" s="101"/>
      <c r="K6" s="616">
        <f>IF($B$2*tarifs!$K$6&gt;K5*50%,K5*50%,$B$2*tarifs!$K$6)</f>
        <v>25.75</v>
      </c>
      <c r="L6" s="617"/>
      <c r="M6" s="618"/>
      <c r="N6" s="616">
        <f>IF($B$2*tarifs!$N$6&gt;N5*50%,N5*50%,$B$2*tarifs!$N$6)</f>
        <v>18.475000000000001</v>
      </c>
      <c r="O6" s="617"/>
      <c r="P6" s="618"/>
      <c r="Q6" s="101"/>
      <c r="R6" s="604">
        <f>R5*25%</f>
        <v>-7.4099999999999966</v>
      </c>
      <c r="S6" s="605"/>
      <c r="T6" s="606"/>
      <c r="U6" s="605">
        <f>U5*25%</f>
        <v>-20.880000000000024</v>
      </c>
      <c r="V6" s="605"/>
      <c r="W6" s="606"/>
      <c r="X6" s="18"/>
    </row>
    <row r="7" spans="1:28" s="34" customFormat="1" ht="11.25" customHeight="1" x14ac:dyDescent="0.2">
      <c r="A7" s="40"/>
      <c r="B7" s="418" t="str">
        <f>tarifs!B7</f>
        <v>part patronale</v>
      </c>
      <c r="C7" s="19"/>
      <c r="D7" s="535">
        <f>D5-D6</f>
        <v>92.42</v>
      </c>
      <c r="E7" s="536"/>
      <c r="F7" s="537"/>
      <c r="G7" s="536">
        <f>G5-G6</f>
        <v>63.695</v>
      </c>
      <c r="H7" s="536"/>
      <c r="I7" s="537"/>
      <c r="J7" s="101"/>
      <c r="K7" s="535">
        <f>K5-K6</f>
        <v>89.95</v>
      </c>
      <c r="L7" s="536"/>
      <c r="M7" s="537"/>
      <c r="N7" s="536">
        <f>N5-N6</f>
        <v>56.734999999999992</v>
      </c>
      <c r="O7" s="536"/>
      <c r="P7" s="537"/>
      <c r="Q7" s="101"/>
      <c r="R7" s="613">
        <f>R5*75%</f>
        <v>-22.22999999999999</v>
      </c>
      <c r="S7" s="614"/>
      <c r="T7" s="615"/>
      <c r="U7" s="614">
        <f>U5*75%</f>
        <v>-62.640000000000072</v>
      </c>
      <c r="V7" s="614"/>
      <c r="W7" s="615"/>
      <c r="X7" s="19"/>
    </row>
    <row r="8" spans="1:28" s="34" customFormat="1" ht="11.25" customHeight="1" x14ac:dyDescent="0.2">
      <c r="A8" s="11"/>
      <c r="B8" s="416" t="str">
        <f>tarifs!B8</f>
        <v>conjoint sans mutuelle</v>
      </c>
      <c r="C8" s="17"/>
      <c r="D8" s="532">
        <f>tarifs!$D$8</f>
        <v>90.08</v>
      </c>
      <c r="E8" s="533"/>
      <c r="F8" s="534"/>
      <c r="G8" s="533">
        <f>tarifs!$G$8</f>
        <v>62.99</v>
      </c>
      <c r="H8" s="533"/>
      <c r="I8" s="534"/>
      <c r="J8" s="101"/>
      <c r="K8" s="532">
        <f>tarifs!$K$8</f>
        <v>89.8</v>
      </c>
      <c r="L8" s="533"/>
      <c r="M8" s="534"/>
      <c r="N8" s="533">
        <f>tarifs!$N$8</f>
        <v>58.37</v>
      </c>
      <c r="O8" s="533"/>
      <c r="P8" s="534"/>
      <c r="Q8" s="101"/>
      <c r="R8" s="592">
        <f t="shared" ref="R8:R13" si="0">(K8-D8)*12</f>
        <v>-3.3600000000000136</v>
      </c>
      <c r="S8" s="593"/>
      <c r="T8" s="594"/>
      <c r="U8" s="593">
        <f t="shared" ref="U8:U13" si="1">(N8-G8)*12</f>
        <v>-55.440000000000055</v>
      </c>
      <c r="V8" s="593"/>
      <c r="W8" s="594"/>
      <c r="X8" s="17"/>
    </row>
    <row r="9" spans="1:28" s="34" customFormat="1" ht="11.25" customHeight="1" x14ac:dyDescent="0.2">
      <c r="A9" s="11"/>
      <c r="B9" s="419" t="str">
        <f>tarifs!B9</f>
        <v>conjoint avec mutuelle</v>
      </c>
      <c r="C9" s="17"/>
      <c r="D9" s="495">
        <f>tarifs!$D$9</f>
        <v>21.36</v>
      </c>
      <c r="E9" s="496"/>
      <c r="F9" s="497"/>
      <c r="G9" s="496">
        <f>tarifs!$G$9</f>
        <v>14.64</v>
      </c>
      <c r="H9" s="496"/>
      <c r="I9" s="497"/>
      <c r="J9" s="101"/>
      <c r="K9" s="541">
        <f>tarifs!$K$9</f>
        <v>49.1</v>
      </c>
      <c r="L9" s="542"/>
      <c r="M9" s="543"/>
      <c r="N9" s="542">
        <f>tarifs!$N$9</f>
        <v>31.92</v>
      </c>
      <c r="O9" s="542"/>
      <c r="P9" s="543"/>
      <c r="Q9" s="101"/>
      <c r="R9" s="583">
        <f t="shared" si="0"/>
        <v>332.88</v>
      </c>
      <c r="S9" s="584"/>
      <c r="T9" s="585"/>
      <c r="U9" s="584">
        <f t="shared" si="1"/>
        <v>207.36</v>
      </c>
      <c r="V9" s="584"/>
      <c r="W9" s="585"/>
      <c r="X9" s="17"/>
    </row>
    <row r="10" spans="1:28" s="34" customFormat="1" ht="11.25" customHeight="1" x14ac:dyDescent="0.2">
      <c r="A10" s="11"/>
      <c r="B10" s="416" t="str">
        <f>tarifs!B10</f>
        <v>sortant - famille</v>
      </c>
      <c r="C10" s="17"/>
      <c r="D10" s="532">
        <f>tarifs!$D$10</f>
        <v>150.08000000000001</v>
      </c>
      <c r="E10" s="533"/>
      <c r="F10" s="534"/>
      <c r="G10" s="533">
        <f>tarifs!$G$10</f>
        <v>105.04</v>
      </c>
      <c r="H10" s="533"/>
      <c r="I10" s="534"/>
      <c r="J10" s="101"/>
      <c r="K10" s="532">
        <f>tarifs!$K$10</f>
        <v>144.63</v>
      </c>
      <c r="L10" s="533"/>
      <c r="M10" s="534"/>
      <c r="N10" s="533">
        <f>tarifs!$N$10</f>
        <v>94.01</v>
      </c>
      <c r="O10" s="533"/>
      <c r="P10" s="534"/>
      <c r="Q10" s="101"/>
      <c r="R10" s="592">
        <f t="shared" si="0"/>
        <v>-65.400000000000205</v>
      </c>
      <c r="S10" s="593"/>
      <c r="T10" s="594"/>
      <c r="U10" s="593">
        <f t="shared" si="1"/>
        <v>-132.36000000000001</v>
      </c>
      <c r="V10" s="593"/>
      <c r="W10" s="594"/>
      <c r="X10" s="17"/>
    </row>
    <row r="11" spans="1:28" s="34" customFormat="1" ht="11.25" customHeight="1" x14ac:dyDescent="0.2">
      <c r="A11" s="11"/>
      <c r="B11" s="420" t="str">
        <f>tarifs!B11</f>
        <v>sortant - conjoint</v>
      </c>
      <c r="C11" s="17"/>
      <c r="D11" s="495">
        <f>tarifs!$D$11</f>
        <v>116.35</v>
      </c>
      <c r="E11" s="496"/>
      <c r="F11" s="497"/>
      <c r="G11" s="496">
        <f>tarifs!$G$11</f>
        <v>81.41</v>
      </c>
      <c r="H11" s="496"/>
      <c r="I11" s="497"/>
      <c r="J11" s="101"/>
      <c r="K11" s="495">
        <f>tarifs!$K$11</f>
        <v>112.25</v>
      </c>
      <c r="L11" s="496"/>
      <c r="M11" s="497"/>
      <c r="N11" s="496">
        <f>tarifs!$N$11</f>
        <v>72.959999999999994</v>
      </c>
      <c r="O11" s="496"/>
      <c r="P11" s="497"/>
      <c r="Q11" s="101"/>
      <c r="R11" s="583">
        <f t="shared" si="0"/>
        <v>-49.199999999999932</v>
      </c>
      <c r="S11" s="584"/>
      <c r="T11" s="585"/>
      <c r="U11" s="584">
        <f t="shared" si="1"/>
        <v>-101.40000000000003</v>
      </c>
      <c r="V11" s="584"/>
      <c r="W11" s="585"/>
      <c r="X11" s="17"/>
    </row>
    <row r="12" spans="1:28" s="34" customFormat="1" ht="11.25" customHeight="1" x14ac:dyDescent="0.2">
      <c r="A12" s="11"/>
      <c r="B12" s="416" t="str">
        <f>tarifs!B12</f>
        <v>retraité (base x 125%)</v>
      </c>
      <c r="C12" s="17"/>
      <c r="D12" s="544">
        <f>tarifs!$D$12</f>
        <v>150.08000000000001</v>
      </c>
      <c r="E12" s="545"/>
      <c r="F12" s="546"/>
      <c r="G12" s="545">
        <f>tarifs!$G$12</f>
        <v>105.04</v>
      </c>
      <c r="H12" s="545"/>
      <c r="I12" s="546"/>
      <c r="J12" s="101"/>
      <c r="K12" s="544">
        <f>tarifs!$K$12</f>
        <v>144.63</v>
      </c>
      <c r="L12" s="545"/>
      <c r="M12" s="546"/>
      <c r="N12" s="545">
        <f>tarifs!$N$12</f>
        <v>94.01</v>
      </c>
      <c r="O12" s="545"/>
      <c r="P12" s="546"/>
      <c r="Q12" s="101"/>
      <c r="R12" s="592">
        <f t="shared" si="0"/>
        <v>-65.400000000000205</v>
      </c>
      <c r="S12" s="593"/>
      <c r="T12" s="594"/>
      <c r="U12" s="593">
        <f t="shared" si="1"/>
        <v>-132.36000000000001</v>
      </c>
      <c r="V12" s="593"/>
      <c r="W12" s="594"/>
      <c r="X12" s="17"/>
    </row>
    <row r="13" spans="1:28" s="34" customFormat="1" ht="11.25" customHeight="1" x14ac:dyDescent="0.2">
      <c r="A13" s="11"/>
      <c r="B13" s="420" t="str">
        <f>tarifs!B13</f>
        <v>retraité - conjoint</v>
      </c>
      <c r="C13" s="17"/>
      <c r="D13" s="541">
        <f>tarifs!$D$13</f>
        <v>116.35</v>
      </c>
      <c r="E13" s="542"/>
      <c r="F13" s="543"/>
      <c r="G13" s="542">
        <f>tarifs!$G$13</f>
        <v>81.41</v>
      </c>
      <c r="H13" s="542"/>
      <c r="I13" s="543"/>
      <c r="J13" s="101"/>
      <c r="K13" s="541">
        <f>tarifs!$K$13</f>
        <v>112.25</v>
      </c>
      <c r="L13" s="542"/>
      <c r="M13" s="543"/>
      <c r="N13" s="542">
        <f>tarifs!$N$13</f>
        <v>72.959999999999994</v>
      </c>
      <c r="O13" s="542"/>
      <c r="P13" s="543"/>
      <c r="Q13" s="101"/>
      <c r="R13" s="583">
        <f t="shared" si="0"/>
        <v>-49.199999999999932</v>
      </c>
      <c r="S13" s="584"/>
      <c r="T13" s="585"/>
      <c r="U13" s="584">
        <f t="shared" si="1"/>
        <v>-101.40000000000003</v>
      </c>
      <c r="V13" s="584"/>
      <c r="W13" s="585"/>
      <c r="X13" s="17"/>
    </row>
    <row r="14" spans="1:28" s="34" customFormat="1" ht="11.25" customHeight="1" x14ac:dyDescent="0.2">
      <c r="A14" s="11"/>
      <c r="B14" s="625" t="str">
        <f>tarifs!$B$14</f>
        <v>surcomplémentaire</v>
      </c>
      <c r="C14" s="17"/>
      <c r="D14" s="361" t="str">
        <f>tarifs!D14</f>
        <v>option 1 : hospitalisation</v>
      </c>
      <c r="E14" s="362"/>
      <c r="F14" s="362"/>
      <c r="G14" s="362"/>
      <c r="H14" s="362"/>
      <c r="I14" s="363"/>
      <c r="J14" s="102"/>
      <c r="K14" s="489" t="s">
        <v>44</v>
      </c>
      <c r="L14" s="490"/>
      <c r="M14" s="490"/>
      <c r="N14" s="490"/>
      <c r="O14" s="490"/>
      <c r="P14" s="491"/>
      <c r="Q14" s="13"/>
      <c r="R14" s="489" t="s">
        <v>45</v>
      </c>
      <c r="S14" s="490"/>
      <c r="T14" s="490"/>
      <c r="U14" s="490"/>
      <c r="V14" s="490"/>
      <c r="W14" s="491"/>
      <c r="X14" s="17"/>
    </row>
    <row r="15" spans="1:28" s="34" customFormat="1" ht="11.25" customHeight="1" x14ac:dyDescent="0.2">
      <c r="A15" s="11"/>
      <c r="B15" s="626"/>
      <c r="C15" s="17"/>
      <c r="D15" s="364" t="str">
        <f>tarifs!D15</f>
        <v>option 2 : consultations - actes médicaux</v>
      </c>
      <c r="E15" s="365"/>
      <c r="F15" s="365"/>
      <c r="G15" s="365"/>
      <c r="H15" s="365"/>
      <c r="I15" s="366"/>
      <c r="J15" s="102"/>
      <c r="K15" s="492"/>
      <c r="L15" s="493"/>
      <c r="M15" s="493"/>
      <c r="N15" s="493"/>
      <c r="O15" s="493"/>
      <c r="P15" s="494"/>
      <c r="Q15" s="13"/>
      <c r="R15" s="492"/>
      <c r="S15" s="493"/>
      <c r="T15" s="493"/>
      <c r="U15" s="493"/>
      <c r="V15" s="493"/>
      <c r="W15" s="494"/>
      <c r="X15" s="17"/>
      <c r="Z15" s="1"/>
    </row>
    <row r="16" spans="1:28" s="34" customFormat="1" ht="11.25" customHeight="1" x14ac:dyDescent="0.2">
      <c r="A16" s="11"/>
      <c r="B16" s="627"/>
      <c r="C16" s="17"/>
      <c r="D16" s="367" t="str">
        <f>tarifs!D16</f>
        <v>option 3 : option 1 + option 2</v>
      </c>
      <c r="E16" s="368"/>
      <c r="F16" s="368"/>
      <c r="G16" s="368"/>
      <c r="H16" s="368"/>
      <c r="I16" s="369"/>
      <c r="J16" s="102"/>
      <c r="K16" s="541" t="s">
        <v>46</v>
      </c>
      <c r="L16" s="542"/>
      <c r="M16" s="542"/>
      <c r="N16" s="542"/>
      <c r="O16" s="542"/>
      <c r="P16" s="543"/>
      <c r="Q16" s="102"/>
      <c r="R16" s="495" t="s">
        <v>47</v>
      </c>
      <c r="S16" s="496"/>
      <c r="T16" s="496"/>
      <c r="U16" s="496"/>
      <c r="V16" s="496"/>
      <c r="W16" s="497"/>
      <c r="X16" s="17"/>
      <c r="Z16" s="1"/>
    </row>
    <row r="17" spans="1:24" s="34" customFormat="1" ht="5.0999999999999996" customHeight="1" x14ac:dyDescent="0.2">
      <c r="A17" s="11"/>
      <c r="B17" s="421"/>
      <c r="C17" s="11"/>
      <c r="D17" s="13"/>
      <c r="E17" s="13"/>
      <c r="F17" s="13"/>
      <c r="G17" s="13"/>
      <c r="H17" s="13"/>
      <c r="I17" s="13"/>
      <c r="J17" s="13"/>
      <c r="K17" s="12"/>
      <c r="L17" s="13"/>
      <c r="M17" s="13"/>
      <c r="N17" s="12"/>
      <c r="O17" s="13"/>
      <c r="P17" s="13"/>
      <c r="Q17" s="13"/>
      <c r="R17" s="33"/>
      <c r="S17" s="33"/>
      <c r="T17" s="33"/>
      <c r="U17" s="33"/>
      <c r="V17" s="33"/>
      <c r="W17" s="33"/>
      <c r="X17" s="11"/>
    </row>
    <row r="18" spans="1:24" s="34" customFormat="1" ht="11.25" customHeight="1" x14ac:dyDescent="0.2">
      <c r="A18" s="41"/>
      <c r="B18" s="441" t="str">
        <f>tarifs!B18</f>
        <v>prévoyance incapacité invalidité décès</v>
      </c>
      <c r="C18" s="20"/>
      <c r="D18" s="525" t="str">
        <f>tarifs!D18</f>
        <v>tranche A</v>
      </c>
      <c r="E18" s="526"/>
      <c r="F18" s="525" t="str">
        <f>tarifs!F18</f>
        <v>tranche B</v>
      </c>
      <c r="G18" s="526"/>
      <c r="H18" s="525" t="str">
        <f>tarifs!H18</f>
        <v>tranche C</v>
      </c>
      <c r="I18" s="526"/>
      <c r="J18" s="98"/>
      <c r="K18" s="525" t="str">
        <f>tarifs!D18</f>
        <v>tranche A</v>
      </c>
      <c r="L18" s="526"/>
      <c r="M18" s="525" t="str">
        <f>tarifs!F18</f>
        <v>tranche B</v>
      </c>
      <c r="N18" s="526"/>
      <c r="O18" s="527" t="str">
        <f>tarifs!H18</f>
        <v>tranche C</v>
      </c>
      <c r="P18" s="526"/>
      <c r="Q18" s="98"/>
      <c r="R18" s="611" t="str">
        <f>tarifs!D18</f>
        <v>tranche A</v>
      </c>
      <c r="S18" s="612"/>
      <c r="T18" s="611" t="str">
        <f>tarifs!F18</f>
        <v>tranche B</v>
      </c>
      <c r="U18" s="612"/>
      <c r="V18" s="611" t="str">
        <f>tarifs!H18</f>
        <v>tranche C</v>
      </c>
      <c r="W18" s="612"/>
      <c r="X18" s="20"/>
    </row>
    <row r="19" spans="1:24" s="34" customFormat="1" ht="33.75" customHeight="1" x14ac:dyDescent="0.2">
      <c r="A19" s="41"/>
      <c r="B19" s="442"/>
      <c r="C19" s="20"/>
      <c r="D19" s="379" t="str">
        <f>tarifs!D19</f>
        <v>employé</v>
      </c>
      <c r="E19" s="380" t="str">
        <f>tarifs!E19</f>
        <v>agent de maîtrise cadre</v>
      </c>
      <c r="F19" s="379" t="str">
        <f>tarifs!F19</f>
        <v>employé</v>
      </c>
      <c r="G19" s="380" t="str">
        <f>tarifs!G19</f>
        <v>agent de maîtrise cadre</v>
      </c>
      <c r="H19" s="379" t="str">
        <f>tarifs!H19</f>
        <v>employé</v>
      </c>
      <c r="I19" s="380" t="str">
        <f>tarifs!I19</f>
        <v>agent de maîtrise cadre</v>
      </c>
      <c r="J19" s="12"/>
      <c r="K19" s="379" t="str">
        <f>tarifs!D19</f>
        <v>employé</v>
      </c>
      <c r="L19" s="380" t="str">
        <f>tarifs!E19</f>
        <v>agent de maîtrise cadre</v>
      </c>
      <c r="M19" s="379" t="str">
        <f>tarifs!F19</f>
        <v>employé</v>
      </c>
      <c r="N19" s="380" t="str">
        <f>tarifs!G19</f>
        <v>agent de maîtrise cadre</v>
      </c>
      <c r="O19" s="379" t="str">
        <f>tarifs!H19</f>
        <v>employé</v>
      </c>
      <c r="P19" s="380" t="str">
        <f>tarifs!I19</f>
        <v>agent de maîtrise cadre</v>
      </c>
      <c r="Q19" s="12"/>
      <c r="R19" s="383" t="str">
        <f>tarifs!D19</f>
        <v>employé</v>
      </c>
      <c r="S19" s="384" t="str">
        <f>tarifs!E19</f>
        <v>agent de maîtrise cadre</v>
      </c>
      <c r="T19" s="383" t="str">
        <f>tarifs!F19</f>
        <v>employé</v>
      </c>
      <c r="U19" s="384" t="str">
        <f>tarifs!G19</f>
        <v>agent de maîtrise cadre</v>
      </c>
      <c r="V19" s="383" t="str">
        <f>tarifs!H19</f>
        <v>employé</v>
      </c>
      <c r="W19" s="384" t="str">
        <f>tarifs!I19</f>
        <v>agent de maîtrise cadre</v>
      </c>
      <c r="X19" s="20"/>
    </row>
    <row r="20" spans="1:24" s="34" customFormat="1" ht="11.25" customHeight="1" x14ac:dyDescent="0.2">
      <c r="A20" s="42"/>
      <c r="B20" s="422" t="str">
        <f>tarifs!B20</f>
        <v>agent de droit privé</v>
      </c>
      <c r="C20" s="21"/>
      <c r="D20" s="607">
        <f>IF($B$2&gt;'BS 2015'!$F$39/12,'BS 2015'!$F$39/12*tarifs!$D$20,$B$2*tarifs!$D$20)</f>
        <v>50.074999999999996</v>
      </c>
      <c r="E20" s="608"/>
      <c r="F20" s="544">
        <f>IF($B$2&gt;'BS 2015'!$F$39/12,($B$2-'BS 2015'!$F$39/12)*tarifs!$F$20,0)</f>
        <v>0</v>
      </c>
      <c r="G20" s="545"/>
      <c r="H20" s="533"/>
      <c r="I20" s="534"/>
      <c r="J20" s="101"/>
      <c r="K20" s="607">
        <f>IF($B$2&gt;'BS 2015'!$F$39/12,'BS 2015'!$F$39/12*tarifs!$K$20,$B$2*tarifs!$K$20)</f>
        <v>48.5</v>
      </c>
      <c r="L20" s="608"/>
      <c r="M20" s="544">
        <f>IF($B$2&gt;'BS 2015'!$F$39/12,($B$2-'BS 2015'!$F$39/12)*tarifs!$M$20,0)</f>
        <v>0</v>
      </c>
      <c r="N20" s="545"/>
      <c r="O20" s="533"/>
      <c r="P20" s="534"/>
      <c r="Q20" s="101"/>
      <c r="R20" s="609">
        <f>(K20-D20)*12</f>
        <v>-18.899999999999949</v>
      </c>
      <c r="S20" s="610"/>
      <c r="T20" s="592">
        <f>(M20-F20)*12</f>
        <v>0</v>
      </c>
      <c r="U20" s="593"/>
      <c r="V20" s="593"/>
      <c r="W20" s="594"/>
      <c r="X20" s="21"/>
    </row>
    <row r="21" spans="1:24" s="34" customFormat="1" ht="11.25" customHeight="1" x14ac:dyDescent="0.2">
      <c r="A21" s="39"/>
      <c r="B21" s="462" t="str">
        <f>tarifs!B21</f>
        <v>part salariale</v>
      </c>
      <c r="C21" s="18"/>
      <c r="D21" s="601">
        <f>IF($B$2&gt;'BS 2015'!$F$39/12,'BS 2015'!$F$39/12*tarifs!$D$21,$B$2*tarifs!$D$21)</f>
        <v>13.025</v>
      </c>
      <c r="E21" s="603"/>
      <c r="F21" s="115">
        <f>IF($B$2&gt;'BS 2015'!$F$40/12,('BS 2015'!$F$40/12-'BS 2015'!$F$39/12)*tarifs!$F$21,IF($B$2&gt;'BS 2015'!$F$39/12,($B$2-'BS 2015'!$F$39/12)*tarifs!$F$21,0))</f>
        <v>0</v>
      </c>
      <c r="G21" s="116">
        <f>IF($B$2&gt;'BS 2015'!$F$40/12,('BS 2015'!$F$40/12-'BS 2015'!$F$39/12)*tarifs!$G$21,IF($B$2&gt;'BS 2015'!$F$39/12,($B$2-'BS 2015'!$F$39/12)*tarifs!$G$21,0))</f>
        <v>0</v>
      </c>
      <c r="H21" s="601">
        <f>IF($B$2&gt;'BS 2015'!$F$40/12,($B$2-'BS 2015'!$F$40/12)*tarifs!$H$21,0)</f>
        <v>0</v>
      </c>
      <c r="I21" s="603"/>
      <c r="J21" s="101"/>
      <c r="K21" s="601">
        <f>IF($B$2&gt;'BS 2015'!$F$39/12,'BS 2015'!$F$39/12*tarifs!$K$21,$B$2*tarifs!$K$21)</f>
        <v>12.6</v>
      </c>
      <c r="L21" s="603"/>
      <c r="M21" s="115">
        <f>IF($B$2&gt;'BS 2015'!$F$40/12,('BS 2015'!$F$40/12-'BS 2015'!$F$39/12)*tarifs!$M$21,IF($B$2&gt;'BS 2015'!$F$39/12,($B$2-'BS 2015'!$F$39/12)*tarifs!$M$21,0))</f>
        <v>0</v>
      </c>
      <c r="N21" s="116">
        <f>IF($B$2&gt;'BS 2015'!$F$40/12,('BS 2015'!$F$40/12-'BS 2015'!$F$39/12)*tarifs!$N$21,IF($B$2&gt;'BS 2015'!$F$39/12,($B$2-'BS 2015'!$F$39/12)*tarifs!$N$21,0))</f>
        <v>0</v>
      </c>
      <c r="O21" s="601">
        <f>IF($B$2&gt;'BS 2015'!$F$40/12,($B$2-'BS 2015'!$F$40/12)*tarifs!$O$21,0)</f>
        <v>0</v>
      </c>
      <c r="P21" s="603"/>
      <c r="Q21" s="101"/>
      <c r="R21" s="604">
        <f>(K21-D21)*12</f>
        <v>-5.1000000000000085</v>
      </c>
      <c r="S21" s="606"/>
      <c r="T21" s="117">
        <f>(M21-F21)*12</f>
        <v>0</v>
      </c>
      <c r="U21" s="118">
        <f>(N21-G21)*12</f>
        <v>0</v>
      </c>
      <c r="V21" s="604">
        <f>(O21-H21)*12</f>
        <v>0</v>
      </c>
      <c r="W21" s="606"/>
      <c r="X21" s="18"/>
    </row>
    <row r="22" spans="1:24" s="34" customFormat="1" ht="11.25" customHeight="1" x14ac:dyDescent="0.2">
      <c r="A22" s="39"/>
      <c r="B22" s="463"/>
      <c r="C22" s="18"/>
      <c r="D22" s="446">
        <f>IF(D20=0,0,D21/D20)</f>
        <v>0.26010983524712933</v>
      </c>
      <c r="E22" s="448"/>
      <c r="F22" s="168">
        <f>IF(F20=0,0,F21/F20)</f>
        <v>0</v>
      </c>
      <c r="G22" s="169">
        <f>IF(F20=0,0,G21/F20)</f>
        <v>0</v>
      </c>
      <c r="H22" s="446">
        <f>IF(F20=0,0,H21/F20)</f>
        <v>0</v>
      </c>
      <c r="I22" s="448"/>
      <c r="J22" s="24"/>
      <c r="K22" s="446">
        <f>IF(K20=0,0,K21/K20)</f>
        <v>0.25979381443298966</v>
      </c>
      <c r="L22" s="448"/>
      <c r="M22" s="168">
        <f>IF(M20=0,0,M21/M20)</f>
        <v>0</v>
      </c>
      <c r="N22" s="169">
        <f>IF(M20=0,0,N21/M20)</f>
        <v>0</v>
      </c>
      <c r="O22" s="446">
        <f>IF(M20=0,0,O21/M20)</f>
        <v>0</v>
      </c>
      <c r="P22" s="448"/>
      <c r="Q22" s="24"/>
      <c r="R22" s="446">
        <f>IF(R20=0,0,R21/R20)</f>
        <v>0.26984126984127105</v>
      </c>
      <c r="S22" s="448"/>
      <c r="T22" s="168">
        <f>IF(T20=0,0,T21/T20)</f>
        <v>0</v>
      </c>
      <c r="U22" s="169">
        <f>IF(T20=0,0,U21/T20)</f>
        <v>0</v>
      </c>
      <c r="V22" s="446">
        <f>IF(T20=0,0,V21/T20)</f>
        <v>0</v>
      </c>
      <c r="W22" s="448"/>
      <c r="X22" s="18"/>
    </row>
    <row r="23" spans="1:24" s="34" customFormat="1" ht="11.25" customHeight="1" x14ac:dyDescent="0.2">
      <c r="A23" s="39"/>
      <c r="B23" s="464" t="str">
        <f>tarifs!B23</f>
        <v>part patronale</v>
      </c>
      <c r="C23" s="18"/>
      <c r="D23" s="595">
        <f>IF($B$2&gt;'BS 2015'!$F$39/12,'BS 2015'!$F$39/12*tarifs!$D$23,$B$2*tarifs!$D$23)</f>
        <v>37.049999999999997</v>
      </c>
      <c r="E23" s="597"/>
      <c r="F23" s="107">
        <f>IF($B$2&gt;'BS 2015'!$F$40/12,('BS 2015'!$F$40/12-'BS 2015'!$F$39/12)*tarifs!$F$23,IF($B$2&gt;'BS 2015'!$F$39/12,($B$2-'BS 2015'!$F$39/12)*tarifs!$F$23,0))</f>
        <v>0</v>
      </c>
      <c r="G23" s="108">
        <f>IF($B$2&gt;'BS 2015'!$F$40/12,('BS 2015'!$F$40/12-'BS 2015'!$F$39/12)*tarifs!$G$23,IF($B$2&gt;'BS 2015'!$F$39/12,($B$2-'BS 2015'!$F$39/12)*tarifs!$G$23,0))</f>
        <v>0</v>
      </c>
      <c r="H23" s="595">
        <f>IF($B$2&gt;'BS 2015'!$F$40/12,($B$2-'BS 2015'!$F$40/12)*tarifs!$H$23,0)</f>
        <v>0</v>
      </c>
      <c r="I23" s="597"/>
      <c r="J23" s="101"/>
      <c r="K23" s="595">
        <f>IF($B$2&gt;'BS 2015'!$F$39/12,'BS 2015'!$F$39/12*tarifs!$K$23,$B$2*tarifs!$K$23)</f>
        <v>35.9</v>
      </c>
      <c r="L23" s="597"/>
      <c r="M23" s="107">
        <f>IF($B$2&gt;'BS 2015'!$F$40/12,('BS 2015'!$F$40/12-'BS 2015'!$F$39/12)*tarifs!$M$23,IF($B$2&gt;'BS 2015'!$F$39/12,($B$2-'BS 2015'!$F$39/12)*tarifs!$M$23,0))</f>
        <v>0</v>
      </c>
      <c r="N23" s="108">
        <f>IF($B$2&gt;'BS 2015'!$F$40/12,('BS 2015'!$F$40/12-'BS 2015'!$F$39/12)*tarifs!$N$23,IF($B$2&gt;'BS 2015'!$F$39/12,($B$2-'BS 2015'!$F$39/12)*tarifs!$N$23,0))</f>
        <v>0</v>
      </c>
      <c r="O23" s="595">
        <f>IF($B$2&gt;'BS 2015'!$F$40/12,($B$2-'BS 2015'!$F$40/12)*tarifs!$O$23,0)</f>
        <v>0</v>
      </c>
      <c r="P23" s="597"/>
      <c r="Q23" s="101"/>
      <c r="R23" s="598">
        <f>(K23-D23)*12</f>
        <v>-13.799999999999983</v>
      </c>
      <c r="S23" s="600"/>
      <c r="T23" s="109">
        <f>(M23-F23)*12</f>
        <v>0</v>
      </c>
      <c r="U23" s="110">
        <f>(N23-G23)*12</f>
        <v>0</v>
      </c>
      <c r="V23" s="598">
        <f>(O23-H23)*12</f>
        <v>0</v>
      </c>
      <c r="W23" s="600"/>
      <c r="X23" s="18"/>
    </row>
    <row r="24" spans="1:24" s="34" customFormat="1" ht="11.25" customHeight="1" x14ac:dyDescent="0.2">
      <c r="A24" s="39"/>
      <c r="B24" s="465"/>
      <c r="C24" s="18"/>
      <c r="D24" s="452">
        <f>IF(D20=0,0,D23/D20)</f>
        <v>0.73989016475287073</v>
      </c>
      <c r="E24" s="454"/>
      <c r="F24" s="170">
        <f>IF(F20=0,0,F23/F20)</f>
        <v>0</v>
      </c>
      <c r="G24" s="171">
        <f>IF(F20=0,0,G23/F20)</f>
        <v>0</v>
      </c>
      <c r="H24" s="452">
        <f>IF(F20=0,0,H23/F20)</f>
        <v>0</v>
      </c>
      <c r="I24" s="454"/>
      <c r="J24" s="24"/>
      <c r="K24" s="452">
        <f>IF(K20=0,0,K23/K20)</f>
        <v>0.74020618556701023</v>
      </c>
      <c r="L24" s="454"/>
      <c r="M24" s="170">
        <f>IF(M20=0,0,M23/M20)</f>
        <v>0</v>
      </c>
      <c r="N24" s="171">
        <f>IF(M20=0,0,N23/M20)</f>
        <v>0</v>
      </c>
      <c r="O24" s="452">
        <f>IF(M20=0,0,O23/M20)</f>
        <v>0</v>
      </c>
      <c r="P24" s="454"/>
      <c r="Q24" s="24"/>
      <c r="R24" s="452">
        <f>IF(R20=0,0,R23/R20)</f>
        <v>0.73015873015873123</v>
      </c>
      <c r="S24" s="454"/>
      <c r="T24" s="170">
        <f>IF(T20=0,0,T23/T20)</f>
        <v>0</v>
      </c>
      <c r="U24" s="171">
        <f>IF(T20=0,0,U23/T20)</f>
        <v>0</v>
      </c>
      <c r="V24" s="452">
        <f>IF(T20=0,0,V23/T20)</f>
        <v>0</v>
      </c>
      <c r="W24" s="454"/>
      <c r="X24" s="18"/>
    </row>
    <row r="25" spans="1:24" s="34" customFormat="1" ht="11.25" customHeight="1" x14ac:dyDescent="0.2">
      <c r="A25" s="39"/>
      <c r="B25" s="422" t="str">
        <f>tarifs!B25</f>
        <v>agent de droit public</v>
      </c>
      <c r="C25" s="18"/>
      <c r="D25" s="607">
        <f>IF($B$2&gt;'BS 2015'!$F$39/12,'BS 2015'!$F$39/12*tarifs!$D$25,$B$2*tarifs!$D$25)</f>
        <v>52.725000000000001</v>
      </c>
      <c r="E25" s="608"/>
      <c r="F25" s="544">
        <f>IF($B$2&gt;'BS 2015'!$F$39/12,($B$2-'BS 2015'!$F$39/12)*tarifs!$F$25,0)</f>
        <v>0</v>
      </c>
      <c r="G25" s="545"/>
      <c r="H25" s="533"/>
      <c r="I25" s="534"/>
      <c r="J25" s="101"/>
      <c r="K25" s="607">
        <f>IF($B$2&gt;'BS 2015'!$F$39/12,'BS 2015'!$F$39/12*tarifs!$K$25,$B$2*tarifs!$K$25)</f>
        <v>52.5</v>
      </c>
      <c r="L25" s="608"/>
      <c r="M25" s="544">
        <f>IF($B$2&gt;'BS 2015'!$F$39/12,($B$2-'BS 2015'!$F$39/12)*tarifs!$M$25,0)</f>
        <v>0</v>
      </c>
      <c r="N25" s="545"/>
      <c r="O25" s="545"/>
      <c r="P25" s="546"/>
      <c r="Q25" s="101"/>
      <c r="R25" s="609">
        <f>(K25-D25)*12</f>
        <v>-2.7000000000000171</v>
      </c>
      <c r="S25" s="610"/>
      <c r="T25" s="592">
        <f>(M25-F25)*12</f>
        <v>0</v>
      </c>
      <c r="U25" s="593"/>
      <c r="V25" s="593"/>
      <c r="W25" s="594"/>
      <c r="X25" s="18"/>
    </row>
    <row r="26" spans="1:24" s="34" customFormat="1" ht="11.25" customHeight="1" x14ac:dyDescent="0.2">
      <c r="A26" s="39"/>
      <c r="B26" s="462" t="str">
        <f>tarifs!B26</f>
        <v>part salariale</v>
      </c>
      <c r="C26" s="18"/>
      <c r="D26" s="601">
        <f>IF($B$2&gt;'BS 2015'!$F$39/12,'BS 2015'!$F$39/12*tarifs!$D$26,$B$2*tarifs!$D$26)</f>
        <v>13.7</v>
      </c>
      <c r="E26" s="603"/>
      <c r="F26" s="115">
        <f>IF($B$2&gt;'BS 2015'!$F$40/12,('BS 2015'!$F$40/12-'BS 2015'!$F$39/12)*tarifs!$F$26,IF($B$2&gt;'BS 2015'!$F$39/12,($B$2-'BS 2015'!$F$39/12)*tarifs!$F$26,0))</f>
        <v>0</v>
      </c>
      <c r="G26" s="116">
        <f>IF($B$2&gt;'BS 2015'!$F$40/12,('BS 2015'!$F$40/12-'BS 2015'!$F$39/12)*tarifs!$G$26,IF($B$2&gt;'BS 2015'!$F$39/12,($B$2-'BS 2015'!$F$39/12)*tarifs!$G$26,0))</f>
        <v>0</v>
      </c>
      <c r="H26" s="601">
        <f>IF($B$2&gt;'BS 2015'!$F$40/12,($B$2-'BS 2015'!$F$40/12)*tarifs!$H$26,0)</f>
        <v>0</v>
      </c>
      <c r="I26" s="603"/>
      <c r="J26" s="101"/>
      <c r="K26" s="601">
        <f>IF($B$2&gt;'BS 2015'!$F$39/12,'BS 2015'!$F$39/12*tarifs!$K$26,$B$2*tarifs!$K$26)</f>
        <v>13.65</v>
      </c>
      <c r="L26" s="603"/>
      <c r="M26" s="115">
        <f>IF($B$2&gt;'BS 2015'!$F$40/12,('BS 2015'!$F$40/12-'BS 2015'!$F$39/12)*tarifs!$M$26,IF($B$2&gt;'BS 2015'!$F$39/12,($B$2-'BS 2015'!$F$39/12)*tarifs!$M$26,0))</f>
        <v>0</v>
      </c>
      <c r="N26" s="116">
        <f>IF($B$2&gt;'BS 2015'!$F$40/12,('BS 2015'!$F$40/12-'BS 2015'!$F$39/12)*tarifs!$N$26,IF($B$2&gt;'BS 2015'!$F$39/12,($B$2-'BS 2015'!$F$39/12)*tarifs!$N$26,0))</f>
        <v>0</v>
      </c>
      <c r="O26" s="601">
        <f>IF($B$2&gt;'BS 2015'!$F$40/12,($B$2-'BS 2015'!$F$40/12)*tarifs!$O$26,0)</f>
        <v>0</v>
      </c>
      <c r="P26" s="603"/>
      <c r="Q26" s="101"/>
      <c r="R26" s="604">
        <f>(K26-D26)*12</f>
        <v>-0.59999999999998721</v>
      </c>
      <c r="S26" s="606"/>
      <c r="T26" s="117">
        <f>(M26-F26)*12</f>
        <v>0</v>
      </c>
      <c r="U26" s="118">
        <f>(N26-G26)*12</f>
        <v>0</v>
      </c>
      <c r="V26" s="604">
        <f>(O26-H26)*12</f>
        <v>0</v>
      </c>
      <c r="W26" s="606"/>
      <c r="X26" s="18"/>
    </row>
    <row r="27" spans="1:24" s="34" customFormat="1" ht="11.25" customHeight="1" x14ac:dyDescent="0.2">
      <c r="A27" s="39"/>
      <c r="B27" s="463"/>
      <c r="C27" s="18"/>
      <c r="D27" s="446">
        <f>IF(D25=0,0,D26/D25)</f>
        <v>0.25983878615457562</v>
      </c>
      <c r="E27" s="448"/>
      <c r="F27" s="168">
        <f>IF(F25=0,0,F26/F25)</f>
        <v>0</v>
      </c>
      <c r="G27" s="169">
        <f>IF(F25=0,0,G26/F25)</f>
        <v>0</v>
      </c>
      <c r="H27" s="446">
        <f>IF(F25=0,0,H26/F25)</f>
        <v>0</v>
      </c>
      <c r="I27" s="448"/>
      <c r="J27" s="24"/>
      <c r="K27" s="446">
        <f>IF(K25=0,0,K26/K25)</f>
        <v>0.26</v>
      </c>
      <c r="L27" s="448"/>
      <c r="M27" s="168">
        <f>IF(M25=0,0,M26/M25)</f>
        <v>0</v>
      </c>
      <c r="N27" s="169">
        <f>IF(M25=0,0,N26/M25)</f>
        <v>0</v>
      </c>
      <c r="O27" s="446">
        <f>IF(M25=0,0,O26/M25)</f>
        <v>0</v>
      </c>
      <c r="P27" s="448"/>
      <c r="Q27" s="24"/>
      <c r="R27" s="446">
        <f>IF(R25=0,0,R26/R25)</f>
        <v>0.22222222222221608</v>
      </c>
      <c r="S27" s="448"/>
      <c r="T27" s="168">
        <f>IF(T25=0,0,T26/T25)</f>
        <v>0</v>
      </c>
      <c r="U27" s="169">
        <f>IF(T25=0,0,U26/T25)</f>
        <v>0</v>
      </c>
      <c r="V27" s="446">
        <f>IF(T25=0,0,V26/T25)</f>
        <v>0</v>
      </c>
      <c r="W27" s="448"/>
      <c r="X27" s="18"/>
    </row>
    <row r="28" spans="1:24" s="34" customFormat="1" ht="11.25" customHeight="1" x14ac:dyDescent="0.2">
      <c r="A28" s="39"/>
      <c r="B28" s="464" t="str">
        <f>tarifs!B28</f>
        <v>part patronale</v>
      </c>
      <c r="C28" s="18"/>
      <c r="D28" s="595">
        <f>IF($B$2&gt;'BS 2015'!$F$39/12,'BS 2015'!$F$39/12*tarifs!$D$28,$B$2*tarifs!$D$28)</f>
        <v>39.024999999999999</v>
      </c>
      <c r="E28" s="597"/>
      <c r="F28" s="107">
        <f>IF($B$2&gt;'BS 2015'!$F$40/12,('BS 2015'!$F$40/12-'BS 2015'!$F$39/12)*tarifs!$F$28,IF($B$2&gt;'BS 2015'!$F$39/12,($B$2-'BS 2015'!$F$39/12)*tarifs!$F$28,0))</f>
        <v>0</v>
      </c>
      <c r="G28" s="108">
        <f>IF($B$2&gt;'BS 2015'!$F$40/12,('BS 2015'!$F$40/12-'BS 2015'!$F$39/12)*tarifs!$G$28,IF($B$2&gt;'BS 2015'!$F$39/12,($B$2-'BS 2015'!$F$39/12)*tarifs!$G$28,0))</f>
        <v>0</v>
      </c>
      <c r="H28" s="595">
        <f>IF($B$2&gt;'BS 2015'!$F$40/12,($B$2-'BS 2015'!$F$40/12)*tarifs!$H$28,0)</f>
        <v>0</v>
      </c>
      <c r="I28" s="597"/>
      <c r="J28" s="101"/>
      <c r="K28" s="595">
        <f>IF($B$2&gt;'BS 2015'!$F$39/12,'BS 2015'!$F$39/12*tarifs!$K$28,$B$2*tarifs!$K$28)</f>
        <v>38.85</v>
      </c>
      <c r="L28" s="597"/>
      <c r="M28" s="107">
        <f>IF($B$2&gt;'BS 2015'!$F$40/12,('BS 2015'!$F$40/12-'BS 2015'!$F$39/12)*tarifs!$M$28,IF($B$2&gt;'BS 2015'!$F$39/12,($B$2-'BS 2015'!$F$39/12)*tarifs!$M$28,0))</f>
        <v>0</v>
      </c>
      <c r="N28" s="108">
        <f>IF($B$2&gt;'BS 2015'!$F$40/12,('BS 2015'!$F$40/12-'BS 2015'!$F$39/12)*tarifs!$N$28,IF($B$2&gt;'BS 2015'!$F$39/12,($B$2-'BS 2015'!$F$39/12)*tarifs!$N$28,0))</f>
        <v>0</v>
      </c>
      <c r="O28" s="595">
        <f>IF($B$2&gt;'BS 2015'!$F$40/12,($B$2-'BS 2015'!$F$40/12)*tarifs!$O$28,0)</f>
        <v>0</v>
      </c>
      <c r="P28" s="597"/>
      <c r="Q28" s="101"/>
      <c r="R28" s="598">
        <f>(K28-D28)*12</f>
        <v>-2.0999999999999659</v>
      </c>
      <c r="S28" s="600"/>
      <c r="T28" s="109">
        <f>(M28-F28)*12</f>
        <v>0</v>
      </c>
      <c r="U28" s="110">
        <f>(N28-G28)*12</f>
        <v>0</v>
      </c>
      <c r="V28" s="598">
        <f>(O28-H28)*12</f>
        <v>0</v>
      </c>
      <c r="W28" s="600"/>
      <c r="X28" s="18"/>
    </row>
    <row r="29" spans="1:24" s="34" customFormat="1" ht="11.25" customHeight="1" x14ac:dyDescent="0.2">
      <c r="A29" s="39"/>
      <c r="B29" s="465"/>
      <c r="C29" s="18"/>
      <c r="D29" s="452">
        <f>IF(D25=0,0,D28/D25)</f>
        <v>0.74016121384542433</v>
      </c>
      <c r="E29" s="454"/>
      <c r="F29" s="170">
        <f>IF(F25=0,0,F28/F25)</f>
        <v>0</v>
      </c>
      <c r="G29" s="171">
        <f>IF(F25=0,0,G28/F25)</f>
        <v>0</v>
      </c>
      <c r="H29" s="452">
        <f>IF(F25=0,0,H28/F25)</f>
        <v>0</v>
      </c>
      <c r="I29" s="454"/>
      <c r="J29" s="24"/>
      <c r="K29" s="452">
        <f>IF(K25=0,0,K28/K25)</f>
        <v>0.74</v>
      </c>
      <c r="L29" s="454"/>
      <c r="M29" s="170">
        <f>IF(M25=0,0,M28/M25)</f>
        <v>0</v>
      </c>
      <c r="N29" s="171">
        <f>IF(M25=0,0,N28/M25)</f>
        <v>0</v>
      </c>
      <c r="O29" s="452">
        <f>IF(M25=0,0,O28/M25)</f>
        <v>0</v>
      </c>
      <c r="P29" s="454"/>
      <c r="Q29" s="24"/>
      <c r="R29" s="452">
        <f>IF(R25=0,0,R28/R25)</f>
        <v>0.77777777777776025</v>
      </c>
      <c r="S29" s="454"/>
      <c r="T29" s="170">
        <f>IF(T25=0,0,T28/T25)</f>
        <v>0</v>
      </c>
      <c r="U29" s="171">
        <f>IF(T25=0,0,U28/T25)</f>
        <v>0</v>
      </c>
      <c r="V29" s="452">
        <f>IF(T25=0,0,V28/T25)</f>
        <v>0</v>
      </c>
      <c r="W29" s="454"/>
      <c r="X29" s="18"/>
    </row>
    <row r="30" spans="1:24" s="34" customFormat="1" ht="11.25" customHeight="1" x14ac:dyDescent="0.2">
      <c r="A30" s="39"/>
      <c r="B30" s="430" t="str">
        <f>tarifs!B30</f>
        <v>maintien du revenu agent public</v>
      </c>
      <c r="C30" s="18"/>
      <c r="D30" s="544">
        <f>$B$2*tarifs!$D$30</f>
        <v>12.125</v>
      </c>
      <c r="E30" s="545"/>
      <c r="F30" s="545"/>
      <c r="G30" s="545"/>
      <c r="H30" s="545"/>
      <c r="I30" s="546"/>
      <c r="J30" s="101"/>
      <c r="K30" s="544">
        <f>$B$2*tarifs!$K$30</f>
        <v>15.774999999999999</v>
      </c>
      <c r="L30" s="545"/>
      <c r="M30" s="545"/>
      <c r="N30" s="545"/>
      <c r="O30" s="545"/>
      <c r="P30" s="546"/>
      <c r="Q30" s="101"/>
      <c r="R30" s="592">
        <f>(K30-D30)*12</f>
        <v>43.799999999999983</v>
      </c>
      <c r="S30" s="593"/>
      <c r="T30" s="593"/>
      <c r="U30" s="593"/>
      <c r="V30" s="593"/>
      <c r="W30" s="594"/>
      <c r="X30" s="18"/>
    </row>
    <row r="31" spans="1:24" s="34" customFormat="1" ht="11.25" customHeight="1" x14ac:dyDescent="0.2">
      <c r="A31" s="39"/>
      <c r="B31" s="462" t="str">
        <f>tarifs!B31</f>
        <v>part salariale</v>
      </c>
      <c r="C31" s="18"/>
      <c r="D31" s="601">
        <f>$B$2*tarifs!$D$31</f>
        <v>4.8500000000000005</v>
      </c>
      <c r="E31" s="602"/>
      <c r="F31" s="602"/>
      <c r="G31" s="602"/>
      <c r="H31" s="602"/>
      <c r="I31" s="603"/>
      <c r="J31" s="101"/>
      <c r="K31" s="601">
        <f>$B$2*tarifs!$K$31</f>
        <v>6.3</v>
      </c>
      <c r="L31" s="602"/>
      <c r="M31" s="602"/>
      <c r="N31" s="602"/>
      <c r="O31" s="602"/>
      <c r="P31" s="603"/>
      <c r="Q31" s="101"/>
      <c r="R31" s="604">
        <f>(K31-D31)*12</f>
        <v>17.399999999999991</v>
      </c>
      <c r="S31" s="605"/>
      <c r="T31" s="605"/>
      <c r="U31" s="605"/>
      <c r="V31" s="605"/>
      <c r="W31" s="606"/>
      <c r="X31" s="18"/>
    </row>
    <row r="32" spans="1:24" s="34" customFormat="1" ht="11.25" customHeight="1" x14ac:dyDescent="0.2">
      <c r="A32" s="39"/>
      <c r="B32" s="463"/>
      <c r="C32" s="18"/>
      <c r="D32" s="446">
        <f>IF(D30=0,0,D31/D30)</f>
        <v>0.4</v>
      </c>
      <c r="E32" s="447"/>
      <c r="F32" s="447"/>
      <c r="G32" s="447"/>
      <c r="H32" s="447"/>
      <c r="I32" s="448"/>
      <c r="J32" s="24"/>
      <c r="K32" s="446">
        <f>IF(K30=0,0,K31/K30)</f>
        <v>0.39936608557844694</v>
      </c>
      <c r="L32" s="447"/>
      <c r="M32" s="447"/>
      <c r="N32" s="447"/>
      <c r="O32" s="447"/>
      <c r="P32" s="448"/>
      <c r="Q32" s="24"/>
      <c r="R32" s="446">
        <f>IF(R30=0,0,R31/R30)</f>
        <v>0.39726027397260272</v>
      </c>
      <c r="S32" s="447"/>
      <c r="T32" s="447"/>
      <c r="U32" s="447"/>
      <c r="V32" s="447"/>
      <c r="W32" s="448"/>
      <c r="X32" s="18"/>
    </row>
    <row r="33" spans="1:24" s="34" customFormat="1" ht="11.25" customHeight="1" x14ac:dyDescent="0.2">
      <c r="A33" s="39"/>
      <c r="B33" s="464" t="str">
        <f>tarifs!B33</f>
        <v>part patronale</v>
      </c>
      <c r="C33" s="18"/>
      <c r="D33" s="595">
        <f>$B$2*tarifs!$D$33</f>
        <v>7.2749999999999995</v>
      </c>
      <c r="E33" s="596"/>
      <c r="F33" s="596"/>
      <c r="G33" s="596"/>
      <c r="H33" s="596"/>
      <c r="I33" s="597"/>
      <c r="J33" s="101"/>
      <c r="K33" s="595">
        <f>$B$2*tarifs!$K$33</f>
        <v>9.4749999999999996</v>
      </c>
      <c r="L33" s="596"/>
      <c r="M33" s="596"/>
      <c r="N33" s="596"/>
      <c r="O33" s="596"/>
      <c r="P33" s="597"/>
      <c r="Q33" s="101"/>
      <c r="R33" s="598">
        <f>(K33-D33)*12</f>
        <v>26.400000000000002</v>
      </c>
      <c r="S33" s="599"/>
      <c r="T33" s="599"/>
      <c r="U33" s="599"/>
      <c r="V33" s="599"/>
      <c r="W33" s="600"/>
      <c r="X33" s="18"/>
    </row>
    <row r="34" spans="1:24" s="34" customFormat="1" ht="11.25" customHeight="1" x14ac:dyDescent="0.2">
      <c r="A34" s="39"/>
      <c r="B34" s="465"/>
      <c r="C34" s="18"/>
      <c r="D34" s="452">
        <f>IF(D30=0,0,D33/D30)</f>
        <v>0.6</v>
      </c>
      <c r="E34" s="453"/>
      <c r="F34" s="453"/>
      <c r="G34" s="453"/>
      <c r="H34" s="453"/>
      <c r="I34" s="454"/>
      <c r="J34" s="24"/>
      <c r="K34" s="452">
        <f>IF(K30=0,0,K33/K30)</f>
        <v>0.60063391442155312</v>
      </c>
      <c r="L34" s="453"/>
      <c r="M34" s="453"/>
      <c r="N34" s="453"/>
      <c r="O34" s="453"/>
      <c r="P34" s="454"/>
      <c r="Q34" s="24"/>
      <c r="R34" s="452">
        <f>IF(R30=0,0,R33/R30)</f>
        <v>0.60273972602739756</v>
      </c>
      <c r="S34" s="453"/>
      <c r="T34" s="453"/>
      <c r="U34" s="453"/>
      <c r="V34" s="453"/>
      <c r="W34" s="454"/>
      <c r="X34" s="18"/>
    </row>
    <row r="35" spans="1:24" s="34" customFormat="1" ht="11.25" customHeight="1" x14ac:dyDescent="0.2">
      <c r="A35" s="10"/>
      <c r="B35" s="424" t="str">
        <f>tarifs!B35</f>
        <v>dépendance 25 ans</v>
      </c>
      <c r="C35" s="22"/>
      <c r="D35" s="544">
        <v>76.319999999999993</v>
      </c>
      <c r="E35" s="545"/>
      <c r="F35" s="545"/>
      <c r="G35" s="545"/>
      <c r="H35" s="545"/>
      <c r="I35" s="546"/>
      <c r="J35" s="101"/>
      <c r="K35" s="544">
        <v>139.09</v>
      </c>
      <c r="L35" s="545"/>
      <c r="M35" s="545"/>
      <c r="N35" s="545"/>
      <c r="O35" s="545"/>
      <c r="P35" s="546"/>
      <c r="Q35" s="101"/>
      <c r="R35" s="592">
        <f t="shared" ref="R35:R40" si="2">(K35-D35)*12</f>
        <v>753.24000000000012</v>
      </c>
      <c r="S35" s="593"/>
      <c r="T35" s="593"/>
      <c r="U35" s="593"/>
      <c r="V35" s="593"/>
      <c r="W35" s="594"/>
      <c r="X35" s="22"/>
    </row>
    <row r="36" spans="1:24" s="34" customFormat="1" ht="11.25" customHeight="1" x14ac:dyDescent="0.2">
      <c r="A36" s="10"/>
      <c r="B36" s="425" t="str">
        <f>tarifs!B36</f>
        <v>dépendance 26 ans</v>
      </c>
      <c r="C36" s="22"/>
      <c r="D36" s="547">
        <v>78.599999999999994</v>
      </c>
      <c r="E36" s="548"/>
      <c r="F36" s="548"/>
      <c r="G36" s="548"/>
      <c r="H36" s="548"/>
      <c r="I36" s="549"/>
      <c r="J36" s="101"/>
      <c r="K36" s="547">
        <v>141.66</v>
      </c>
      <c r="L36" s="548"/>
      <c r="M36" s="548"/>
      <c r="N36" s="548"/>
      <c r="O36" s="548"/>
      <c r="P36" s="549"/>
      <c r="Q36" s="101"/>
      <c r="R36" s="589">
        <f t="shared" si="2"/>
        <v>756.72</v>
      </c>
      <c r="S36" s="590"/>
      <c r="T36" s="590"/>
      <c r="U36" s="590"/>
      <c r="V36" s="590"/>
      <c r="W36" s="591"/>
      <c r="X36" s="22"/>
    </row>
    <row r="37" spans="1:24" s="34" customFormat="1" ht="11.25" customHeight="1" x14ac:dyDescent="0.2">
      <c r="A37" s="10"/>
      <c r="B37" s="425" t="str">
        <f>tarifs!B37</f>
        <v>dépendance 27 ans</v>
      </c>
      <c r="C37" s="22"/>
      <c r="D37" s="547">
        <v>81</v>
      </c>
      <c r="E37" s="548"/>
      <c r="F37" s="548"/>
      <c r="G37" s="548"/>
      <c r="H37" s="548"/>
      <c r="I37" s="549"/>
      <c r="J37" s="101"/>
      <c r="K37" s="547">
        <v>144.32</v>
      </c>
      <c r="L37" s="548"/>
      <c r="M37" s="548"/>
      <c r="N37" s="548"/>
      <c r="O37" s="548"/>
      <c r="P37" s="549"/>
      <c r="Q37" s="101"/>
      <c r="R37" s="589">
        <f t="shared" si="2"/>
        <v>759.83999999999992</v>
      </c>
      <c r="S37" s="590"/>
      <c r="T37" s="590"/>
      <c r="U37" s="590"/>
      <c r="V37" s="590"/>
      <c r="W37" s="591"/>
      <c r="X37" s="22"/>
    </row>
    <row r="38" spans="1:24" s="34" customFormat="1" ht="11.25" customHeight="1" x14ac:dyDescent="0.2">
      <c r="A38" s="10"/>
      <c r="B38" s="425" t="str">
        <f>tarifs!B38</f>
        <v>dépendance 52 ans</v>
      </c>
      <c r="C38" s="22"/>
      <c r="D38" s="547">
        <v>193.56</v>
      </c>
      <c r="E38" s="548"/>
      <c r="F38" s="548"/>
      <c r="G38" s="548"/>
      <c r="H38" s="548"/>
      <c r="I38" s="549"/>
      <c r="J38" s="101"/>
      <c r="K38" s="547">
        <v>261.08</v>
      </c>
      <c r="L38" s="548"/>
      <c r="M38" s="548"/>
      <c r="N38" s="548"/>
      <c r="O38" s="548"/>
      <c r="P38" s="549"/>
      <c r="Q38" s="101"/>
      <c r="R38" s="589">
        <f t="shared" si="2"/>
        <v>810.23999999999978</v>
      </c>
      <c r="S38" s="590"/>
      <c r="T38" s="590"/>
      <c r="U38" s="590"/>
      <c r="V38" s="590"/>
      <c r="W38" s="591"/>
      <c r="X38" s="22"/>
    </row>
    <row r="39" spans="1:24" s="34" customFormat="1" ht="11.25" customHeight="1" x14ac:dyDescent="0.2">
      <c r="A39" s="10"/>
      <c r="B39" s="425" t="str">
        <f>tarifs!B39</f>
        <v>dépendance 53 ans</v>
      </c>
      <c r="C39" s="22"/>
      <c r="D39" s="547">
        <v>201.96</v>
      </c>
      <c r="E39" s="548"/>
      <c r="F39" s="548"/>
      <c r="G39" s="548"/>
      <c r="H39" s="548"/>
      <c r="I39" s="549"/>
      <c r="J39" s="101"/>
      <c r="K39" s="547">
        <v>269.06</v>
      </c>
      <c r="L39" s="548"/>
      <c r="M39" s="548"/>
      <c r="N39" s="548"/>
      <c r="O39" s="548"/>
      <c r="P39" s="549"/>
      <c r="Q39" s="101"/>
      <c r="R39" s="589">
        <f t="shared" si="2"/>
        <v>805.19999999999993</v>
      </c>
      <c r="S39" s="590"/>
      <c r="T39" s="590"/>
      <c r="U39" s="590"/>
      <c r="V39" s="590"/>
      <c r="W39" s="591"/>
      <c r="X39" s="22"/>
    </row>
    <row r="40" spans="1:24" s="34" customFormat="1" ht="11.25" customHeight="1" x14ac:dyDescent="0.2">
      <c r="A40" s="10"/>
      <c r="B40" s="426" t="str">
        <f>tarifs!B40</f>
        <v>dépendance 54 ans</v>
      </c>
      <c r="C40" s="22"/>
      <c r="D40" s="541">
        <v>210.96</v>
      </c>
      <c r="E40" s="542"/>
      <c r="F40" s="542"/>
      <c r="G40" s="542"/>
      <c r="H40" s="542"/>
      <c r="I40" s="543"/>
      <c r="J40" s="101"/>
      <c r="K40" s="541">
        <v>277.44</v>
      </c>
      <c r="L40" s="542"/>
      <c r="M40" s="542"/>
      <c r="N40" s="542"/>
      <c r="O40" s="542"/>
      <c r="P40" s="543"/>
      <c r="Q40" s="101"/>
      <c r="R40" s="583">
        <f t="shared" si="2"/>
        <v>797.75999999999988</v>
      </c>
      <c r="S40" s="584"/>
      <c r="T40" s="584"/>
      <c r="U40" s="584"/>
      <c r="V40" s="584"/>
      <c r="W40" s="585"/>
      <c r="X40" s="22"/>
    </row>
    <row r="41" spans="1:24" s="34" customFormat="1" ht="5.0999999999999996" customHeight="1" x14ac:dyDescent="0.2">
      <c r="A41" s="11"/>
      <c r="B41" s="421"/>
      <c r="C41" s="11"/>
      <c r="D41" s="13"/>
      <c r="E41" s="13"/>
      <c r="F41" s="13"/>
      <c r="G41" s="13"/>
      <c r="H41" s="13"/>
      <c r="I41" s="13"/>
      <c r="J41" s="13"/>
      <c r="K41" s="12"/>
      <c r="L41" s="13"/>
      <c r="M41" s="13"/>
      <c r="N41" s="12"/>
      <c r="O41" s="13"/>
      <c r="P41" s="13"/>
      <c r="Q41" s="13"/>
      <c r="R41" s="33"/>
      <c r="S41" s="33"/>
      <c r="T41" s="33"/>
      <c r="U41" s="33"/>
      <c r="V41" s="33"/>
      <c r="W41" s="33"/>
      <c r="X41" s="11"/>
    </row>
    <row r="42" spans="1:24" s="34" customFormat="1" ht="11.25" customHeight="1" x14ac:dyDescent="0.2">
      <c r="A42" s="29"/>
      <c r="B42" s="427" t="str">
        <f>tarifs!$B$42</f>
        <v>légende couleurs</v>
      </c>
      <c r="C42" s="29"/>
      <c r="D42" s="498" t="s">
        <v>48</v>
      </c>
      <c r="E42" s="499"/>
      <c r="F42" s="499"/>
      <c r="G42" s="499"/>
      <c r="H42" s="499"/>
      <c r="I42" s="500"/>
      <c r="J42" s="30"/>
      <c r="K42" s="478" t="str">
        <f>tarifs!$K$42</f>
        <v>les taux 2016 seront modifiés en 2017 !</v>
      </c>
      <c r="L42" s="479"/>
      <c r="M42" s="479"/>
      <c r="N42" s="479"/>
      <c r="O42" s="479"/>
      <c r="P42" s="480"/>
      <c r="Q42" s="31"/>
      <c r="R42" s="586" t="str">
        <f>tarifs!$R$42</f>
        <v>évolution part salariale santé = 25% évolution forfait</v>
      </c>
      <c r="S42" s="587"/>
      <c r="T42" s="587"/>
      <c r="U42" s="587"/>
      <c r="V42" s="587"/>
      <c r="W42" s="588"/>
      <c r="X42" s="29"/>
    </row>
    <row r="43" spans="1:24" s="43" customFormat="1" ht="5.0999999999999996" customHeight="1" x14ac:dyDescent="0.2">
      <c r="A43" s="15"/>
      <c r="B43" s="15"/>
      <c r="C43" s="15"/>
      <c r="D43" s="23"/>
      <c r="E43" s="23"/>
      <c r="F43" s="23"/>
      <c r="G43" s="23"/>
      <c r="H43" s="23"/>
      <c r="I43" s="23"/>
      <c r="J43" s="23"/>
      <c r="K43" s="23"/>
      <c r="L43" s="23"/>
      <c r="M43" s="23"/>
      <c r="N43" s="23"/>
      <c r="O43" s="23"/>
      <c r="P43" s="23"/>
      <c r="Q43" s="23"/>
      <c r="R43" s="44"/>
      <c r="S43" s="44"/>
      <c r="T43" s="44"/>
      <c r="U43" s="44"/>
      <c r="V43" s="44"/>
      <c r="W43" s="44"/>
      <c r="X43" s="15"/>
    </row>
  </sheetData>
  <mergeCells count="180">
    <mergeCell ref="B28:B29"/>
    <mergeCell ref="B31:B32"/>
    <mergeCell ref="B33:B34"/>
    <mergeCell ref="B21:B22"/>
    <mergeCell ref="B23:B24"/>
    <mergeCell ref="B26:B27"/>
    <mergeCell ref="U10:W10"/>
    <mergeCell ref="R11:T11"/>
    <mergeCell ref="U11:W11"/>
    <mergeCell ref="R16:W16"/>
    <mergeCell ref="U12:W12"/>
    <mergeCell ref="K12:M12"/>
    <mergeCell ref="N12:P12"/>
    <mergeCell ref="R12:T12"/>
    <mergeCell ref="K10:M10"/>
    <mergeCell ref="N10:P10"/>
    <mergeCell ref="K11:M11"/>
    <mergeCell ref="N11:P11"/>
    <mergeCell ref="R10:T10"/>
    <mergeCell ref="D10:F10"/>
    <mergeCell ref="G10:I10"/>
    <mergeCell ref="D11:F11"/>
    <mergeCell ref="B14:B16"/>
    <mergeCell ref="G11:I11"/>
    <mergeCell ref="D5:F5"/>
    <mergeCell ref="G5:I5"/>
    <mergeCell ref="K5:M5"/>
    <mergeCell ref="N5:P5"/>
    <mergeCell ref="R5:T5"/>
    <mergeCell ref="U5:W5"/>
    <mergeCell ref="D2:I2"/>
    <mergeCell ref="K2:P2"/>
    <mergeCell ref="R2:W2"/>
    <mergeCell ref="D4:F4"/>
    <mergeCell ref="G4:I4"/>
    <mergeCell ref="K4:M4"/>
    <mergeCell ref="N4:P4"/>
    <mergeCell ref="R4:T4"/>
    <mergeCell ref="U4:W4"/>
    <mergeCell ref="D9:F9"/>
    <mergeCell ref="G9:I9"/>
    <mergeCell ref="K9:M9"/>
    <mergeCell ref="N9:P9"/>
    <mergeCell ref="R9:T9"/>
    <mergeCell ref="U9:W9"/>
    <mergeCell ref="R6:T6"/>
    <mergeCell ref="U6:W6"/>
    <mergeCell ref="R7:T7"/>
    <mergeCell ref="U7:W7"/>
    <mergeCell ref="D8:F8"/>
    <mergeCell ref="G8:I8"/>
    <mergeCell ref="K8:M8"/>
    <mergeCell ref="N8:P8"/>
    <mergeCell ref="R8:T8"/>
    <mergeCell ref="U8:W8"/>
    <mergeCell ref="D6:F6"/>
    <mergeCell ref="G6:I6"/>
    <mergeCell ref="D7:F7"/>
    <mergeCell ref="G7:I7"/>
    <mergeCell ref="K7:M7"/>
    <mergeCell ref="N7:P7"/>
    <mergeCell ref="K6:M6"/>
    <mergeCell ref="N6:P6"/>
    <mergeCell ref="D12:F12"/>
    <mergeCell ref="G12:I12"/>
    <mergeCell ref="D13:F13"/>
    <mergeCell ref="G13:I13"/>
    <mergeCell ref="K14:P15"/>
    <mergeCell ref="K16:P16"/>
    <mergeCell ref="D18:E18"/>
    <mergeCell ref="F18:G18"/>
    <mergeCell ref="H18:I18"/>
    <mergeCell ref="K18:L18"/>
    <mergeCell ref="M18:N18"/>
    <mergeCell ref="O18:P18"/>
    <mergeCell ref="R18:S18"/>
    <mergeCell ref="T18:U18"/>
    <mergeCell ref="V18:W18"/>
    <mergeCell ref="K13:M13"/>
    <mergeCell ref="N13:P13"/>
    <mergeCell ref="R13:T13"/>
    <mergeCell ref="U13:W13"/>
    <mergeCell ref="D21:E21"/>
    <mergeCell ref="H21:I21"/>
    <mergeCell ref="K21:L21"/>
    <mergeCell ref="O21:P21"/>
    <mergeCell ref="R21:S21"/>
    <mergeCell ref="V21:W21"/>
    <mergeCell ref="D20:E20"/>
    <mergeCell ref="F20:I20"/>
    <mergeCell ref="K20:L20"/>
    <mergeCell ref="M20:P20"/>
    <mergeCell ref="R20:S20"/>
    <mergeCell ref="T20:W20"/>
    <mergeCell ref="R14:W15"/>
    <mergeCell ref="D25:E25"/>
    <mergeCell ref="F25:I25"/>
    <mergeCell ref="K25:L25"/>
    <mergeCell ref="M25:P25"/>
    <mergeCell ref="R25:S25"/>
    <mergeCell ref="T25:W25"/>
    <mergeCell ref="R23:S23"/>
    <mergeCell ref="V23:W23"/>
    <mergeCell ref="R22:S22"/>
    <mergeCell ref="V22:W22"/>
    <mergeCell ref="D24:E24"/>
    <mergeCell ref="H24:I24"/>
    <mergeCell ref="K24:L24"/>
    <mergeCell ref="O24:P24"/>
    <mergeCell ref="R24:S24"/>
    <mergeCell ref="V24:W24"/>
    <mergeCell ref="D22:E22"/>
    <mergeCell ref="H22:I22"/>
    <mergeCell ref="K22:L22"/>
    <mergeCell ref="O22:P22"/>
    <mergeCell ref="D23:E23"/>
    <mergeCell ref="H23:I23"/>
    <mergeCell ref="K23:L23"/>
    <mergeCell ref="O23:P23"/>
    <mergeCell ref="D27:E27"/>
    <mergeCell ref="H27:I27"/>
    <mergeCell ref="K27:L27"/>
    <mergeCell ref="O27:P27"/>
    <mergeCell ref="R27:S27"/>
    <mergeCell ref="V27:W27"/>
    <mergeCell ref="D26:E26"/>
    <mergeCell ref="H26:I26"/>
    <mergeCell ref="K26:L26"/>
    <mergeCell ref="O26:P26"/>
    <mergeCell ref="R26:S26"/>
    <mergeCell ref="V26:W26"/>
    <mergeCell ref="D29:E29"/>
    <mergeCell ref="H29:I29"/>
    <mergeCell ref="K29:L29"/>
    <mergeCell ref="O29:P29"/>
    <mergeCell ref="R29:S29"/>
    <mergeCell ref="V29:W29"/>
    <mergeCell ref="D28:E28"/>
    <mergeCell ref="H28:I28"/>
    <mergeCell ref="K28:L28"/>
    <mergeCell ref="O28:P28"/>
    <mergeCell ref="R28:S28"/>
    <mergeCell ref="V28:W28"/>
    <mergeCell ref="R35:W35"/>
    <mergeCell ref="D32:I32"/>
    <mergeCell ref="K32:P32"/>
    <mergeCell ref="R32:W32"/>
    <mergeCell ref="D33:I33"/>
    <mergeCell ref="K33:P33"/>
    <mergeCell ref="R33:W33"/>
    <mergeCell ref="D30:I30"/>
    <mergeCell ref="K30:P30"/>
    <mergeCell ref="R30:W30"/>
    <mergeCell ref="D31:I31"/>
    <mergeCell ref="K31:P31"/>
    <mergeCell ref="R31:W31"/>
    <mergeCell ref="B18:B19"/>
    <mergeCell ref="D40:I40"/>
    <mergeCell ref="K40:P40"/>
    <mergeCell ref="R40:W40"/>
    <mergeCell ref="D42:I42"/>
    <mergeCell ref="K42:P42"/>
    <mergeCell ref="R42:W42"/>
    <mergeCell ref="D38:I38"/>
    <mergeCell ref="K38:P38"/>
    <mergeCell ref="R38:W38"/>
    <mergeCell ref="D39:I39"/>
    <mergeCell ref="K39:P39"/>
    <mergeCell ref="R39:W39"/>
    <mergeCell ref="D36:I36"/>
    <mergeCell ref="K36:P36"/>
    <mergeCell ref="R36:W36"/>
    <mergeCell ref="D37:I37"/>
    <mergeCell ref="K37:P37"/>
    <mergeCell ref="R37:W37"/>
    <mergeCell ref="D34:I34"/>
    <mergeCell ref="K34:P34"/>
    <mergeCell ref="R34:W34"/>
    <mergeCell ref="D35:I35"/>
    <mergeCell ref="K35:P35"/>
  </mergeCells>
  <pageMargins left="0.7" right="0.7" top="0.75" bottom="0.75" header="0.3" footer="0.3"/>
  <pageSetup paperSize="9" orientation="portrait" horizontalDpi="120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8"/>
  <sheetViews>
    <sheetView showGridLines="0" showZeros="0" zoomScaleNormal="100" workbookViewId="0"/>
  </sheetViews>
  <sheetFormatPr baseColWidth="10" defaultColWidth="11.42578125" defaultRowHeight="11.25" x14ac:dyDescent="0.2"/>
  <cols>
    <col min="1" max="1" width="0.85546875" style="299" customWidth="1"/>
    <col min="2" max="2" width="23" style="299" customWidth="1"/>
    <col min="3" max="3" width="0.85546875" style="299" customWidth="1"/>
    <col min="4" max="9" width="6.7109375" style="299" customWidth="1"/>
    <col min="10" max="10" width="0.85546875" style="299" customWidth="1"/>
    <col min="11" max="16" width="6.7109375" style="299" customWidth="1"/>
    <col min="17" max="17" width="0.85546875" style="299" customWidth="1"/>
    <col min="18" max="23" width="6.7109375" style="299" customWidth="1"/>
    <col min="24" max="24" width="0.85546875" style="299" customWidth="1"/>
    <col min="25" max="25" width="3.7109375" style="299" customWidth="1"/>
    <col min="26" max="16384" width="11.42578125" style="299"/>
  </cols>
  <sheetData>
    <row r="1" spans="1:28" s="43" customFormat="1" ht="5.0999999999999996" customHeight="1" x14ac:dyDescent="0.2">
      <c r="A1" s="15"/>
      <c r="B1" s="35"/>
      <c r="C1" s="15"/>
      <c r="D1" s="36"/>
      <c r="E1" s="36"/>
      <c r="F1" s="36"/>
      <c r="G1" s="36"/>
      <c r="H1" s="36"/>
      <c r="I1" s="36"/>
      <c r="J1" s="23"/>
      <c r="K1" s="36"/>
      <c r="L1" s="36"/>
      <c r="M1" s="36"/>
      <c r="N1" s="36"/>
      <c r="O1" s="36"/>
      <c r="P1" s="36"/>
      <c r="Q1" s="23"/>
      <c r="R1" s="37"/>
      <c r="S1" s="37"/>
      <c r="T1" s="37"/>
      <c r="U1" s="37"/>
      <c r="V1" s="37"/>
      <c r="W1" s="37"/>
      <c r="X1" s="15"/>
    </row>
    <row r="2" spans="1:28" s="34" customFormat="1" ht="11.25" customHeight="1" x14ac:dyDescent="0.2">
      <c r="A2" s="15"/>
      <c r="B2" s="428">
        <v>5000</v>
      </c>
      <c r="C2" s="14"/>
      <c r="D2" s="522">
        <f>tarifs!$D$2</f>
        <v>2016</v>
      </c>
      <c r="E2" s="523"/>
      <c r="F2" s="523"/>
      <c r="G2" s="523"/>
      <c r="H2" s="523"/>
      <c r="I2" s="524"/>
      <c r="J2" s="95"/>
      <c r="K2" s="522">
        <f>tarifs!$K$2</f>
        <v>2017</v>
      </c>
      <c r="L2" s="523"/>
      <c r="M2" s="523"/>
      <c r="N2" s="523"/>
      <c r="O2" s="523"/>
      <c r="P2" s="524"/>
      <c r="Q2" s="23"/>
      <c r="R2" s="619" t="s">
        <v>43</v>
      </c>
      <c r="S2" s="620"/>
      <c r="T2" s="620"/>
      <c r="U2" s="620"/>
      <c r="V2" s="620"/>
      <c r="W2" s="621"/>
      <c r="X2" s="14"/>
    </row>
    <row r="3" spans="1:28" s="34" customFormat="1" ht="5.0999999999999996" customHeight="1" x14ac:dyDescent="0.2">
      <c r="A3" s="15"/>
      <c r="B3" s="415"/>
      <c r="C3" s="15"/>
      <c r="D3" s="8"/>
      <c r="E3" s="8"/>
      <c r="F3" s="8"/>
      <c r="G3" s="8"/>
      <c r="H3" s="8"/>
      <c r="I3" s="8"/>
      <c r="J3" s="23"/>
      <c r="K3" s="8"/>
      <c r="L3" s="8"/>
      <c r="M3" s="8"/>
      <c r="N3" s="8"/>
      <c r="O3" s="8"/>
      <c r="P3" s="8"/>
      <c r="Q3" s="23"/>
      <c r="R3" s="9"/>
      <c r="S3" s="9"/>
      <c r="T3" s="9"/>
      <c r="U3" s="9"/>
      <c r="V3" s="9"/>
      <c r="W3" s="9"/>
      <c r="X3" s="15"/>
    </row>
    <row r="4" spans="1:28" s="34" customFormat="1" ht="11.25" customHeight="1" x14ac:dyDescent="0.2">
      <c r="A4" s="38"/>
      <c r="B4" s="429" t="str">
        <f>tarifs!B4</f>
        <v>santé</v>
      </c>
      <c r="C4" s="16"/>
      <c r="D4" s="528" t="str">
        <f>tarifs!D4</f>
        <v>régime général</v>
      </c>
      <c r="E4" s="529"/>
      <c r="F4" s="530"/>
      <c r="G4" s="531" t="str">
        <f>tarifs!$G$4</f>
        <v>régime local alsace moselle</v>
      </c>
      <c r="H4" s="529"/>
      <c r="I4" s="530"/>
      <c r="J4" s="98"/>
      <c r="K4" s="528" t="str">
        <f>tarifs!D4</f>
        <v>régime général</v>
      </c>
      <c r="L4" s="529"/>
      <c r="M4" s="530"/>
      <c r="N4" s="531" t="str">
        <f>tarifs!G4</f>
        <v>régime local alsace moselle</v>
      </c>
      <c r="O4" s="529"/>
      <c r="P4" s="530"/>
      <c r="Q4" s="98"/>
      <c r="R4" s="622" t="str">
        <f>tarifs!D4</f>
        <v>régime général</v>
      </c>
      <c r="S4" s="623"/>
      <c r="T4" s="624"/>
      <c r="U4" s="623" t="str">
        <f>tarifs!G4</f>
        <v>régime local alsace moselle</v>
      </c>
      <c r="V4" s="623"/>
      <c r="W4" s="624"/>
      <c r="X4" s="16"/>
    </row>
    <row r="5" spans="1:28" s="34" customFormat="1" ht="11.25" customHeight="1" x14ac:dyDescent="0.2">
      <c r="A5" s="11"/>
      <c r="B5" s="416" t="str">
        <f>tarifs!B5</f>
        <v>forfait régime famille de base</v>
      </c>
      <c r="C5" s="17"/>
      <c r="D5" s="532">
        <f>tarifs!$D$5</f>
        <v>118.17</v>
      </c>
      <c r="E5" s="533"/>
      <c r="F5" s="534"/>
      <c r="G5" s="533">
        <f>tarifs!$G$5</f>
        <v>82.17</v>
      </c>
      <c r="H5" s="533"/>
      <c r="I5" s="534"/>
      <c r="J5" s="101"/>
      <c r="K5" s="532">
        <f>tarifs!$K$5</f>
        <v>115.7</v>
      </c>
      <c r="L5" s="533"/>
      <c r="M5" s="534"/>
      <c r="N5" s="533">
        <f>tarifs!$N$5</f>
        <v>75.209999999999994</v>
      </c>
      <c r="O5" s="533"/>
      <c r="P5" s="534"/>
      <c r="Q5" s="101"/>
      <c r="R5" s="592">
        <f>(K5-D5)*12</f>
        <v>-29.639999999999986</v>
      </c>
      <c r="S5" s="593"/>
      <c r="T5" s="594"/>
      <c r="U5" s="593">
        <f>(N5-G5)*12</f>
        <v>-83.520000000000095</v>
      </c>
      <c r="V5" s="593"/>
      <c r="W5" s="594"/>
      <c r="X5" s="17"/>
      <c r="AA5" s="1"/>
      <c r="AB5" s="1"/>
    </row>
    <row r="6" spans="1:28" s="34" customFormat="1" ht="11.25" customHeight="1" x14ac:dyDescent="0.2">
      <c r="A6" s="39"/>
      <c r="B6" s="417" t="s">
        <v>29</v>
      </c>
      <c r="C6" s="18"/>
      <c r="D6" s="601">
        <f>IF($B$2*tarifs!$D$6&gt;D5*60%,D5*60%,$B$2*tarifs!$D$6)</f>
        <v>51.5</v>
      </c>
      <c r="E6" s="602"/>
      <c r="F6" s="603"/>
      <c r="G6" s="601">
        <f>IF($B$2*tarifs!$G$6&gt;G5*60%,G5*60%,$B$2*tarifs!$G$6)</f>
        <v>36.950000000000003</v>
      </c>
      <c r="H6" s="602"/>
      <c r="I6" s="603"/>
      <c r="J6" s="101"/>
      <c r="K6" s="616">
        <f>IF($B$2*tarifs!$K$6&gt;K5*50%,K5*50%,$B$2*tarifs!$K$6)</f>
        <v>51.5</v>
      </c>
      <c r="L6" s="617"/>
      <c r="M6" s="618"/>
      <c r="N6" s="616">
        <f>IF($B$2*tarifs!$N$6&gt;N5*50%,N5*50%,$B$2*tarifs!$N$6)</f>
        <v>36.950000000000003</v>
      </c>
      <c r="O6" s="617"/>
      <c r="P6" s="618"/>
      <c r="Q6" s="101"/>
      <c r="R6" s="604">
        <f>R5*25%</f>
        <v>-7.4099999999999966</v>
      </c>
      <c r="S6" s="605"/>
      <c r="T6" s="606"/>
      <c r="U6" s="605">
        <f>U5*25%</f>
        <v>-20.880000000000024</v>
      </c>
      <c r="V6" s="605"/>
      <c r="W6" s="606"/>
      <c r="X6" s="18"/>
    </row>
    <row r="7" spans="1:28" s="34" customFormat="1" ht="11.25" customHeight="1" x14ac:dyDescent="0.2">
      <c r="A7" s="40"/>
      <c r="B7" s="431" t="str">
        <f>tarifs!B7</f>
        <v>part patronale</v>
      </c>
      <c r="C7" s="19"/>
      <c r="D7" s="631">
        <f>D5-D6</f>
        <v>66.67</v>
      </c>
      <c r="E7" s="632"/>
      <c r="F7" s="633"/>
      <c r="G7" s="632">
        <f>G5-G6</f>
        <v>45.22</v>
      </c>
      <c r="H7" s="632"/>
      <c r="I7" s="633"/>
      <c r="J7" s="101"/>
      <c r="K7" s="631">
        <f>K5-K6</f>
        <v>64.2</v>
      </c>
      <c r="L7" s="632"/>
      <c r="M7" s="633"/>
      <c r="N7" s="632">
        <f>N5-N6</f>
        <v>38.259999999999991</v>
      </c>
      <c r="O7" s="632"/>
      <c r="P7" s="633"/>
      <c r="Q7" s="101"/>
      <c r="R7" s="613">
        <f>R5*75%</f>
        <v>-22.22999999999999</v>
      </c>
      <c r="S7" s="614"/>
      <c r="T7" s="615"/>
      <c r="U7" s="614">
        <f>U5*75%</f>
        <v>-62.640000000000072</v>
      </c>
      <c r="V7" s="614"/>
      <c r="W7" s="615"/>
      <c r="X7" s="19"/>
    </row>
    <row r="8" spans="1:28" s="34" customFormat="1" ht="5.0999999999999996" customHeight="1" x14ac:dyDescent="0.2">
      <c r="A8" s="11"/>
      <c r="B8" s="421"/>
      <c r="C8" s="11"/>
      <c r="D8" s="13"/>
      <c r="E8" s="13"/>
      <c r="F8" s="13"/>
      <c r="G8" s="13"/>
      <c r="H8" s="13"/>
      <c r="I8" s="13"/>
      <c r="J8" s="13"/>
      <c r="K8" s="12"/>
      <c r="L8" s="13"/>
      <c r="M8" s="13"/>
      <c r="N8" s="12"/>
      <c r="O8" s="13"/>
      <c r="P8" s="13"/>
      <c r="Q8" s="13"/>
      <c r="R8" s="33"/>
      <c r="S8" s="33"/>
      <c r="T8" s="33"/>
      <c r="U8" s="33"/>
      <c r="V8" s="33"/>
      <c r="W8" s="33"/>
      <c r="X8" s="11"/>
    </row>
    <row r="9" spans="1:28" s="34" customFormat="1" ht="11.25" customHeight="1" x14ac:dyDescent="0.2">
      <c r="A9" s="41"/>
      <c r="B9" s="441" t="str">
        <f>tarifs!B18</f>
        <v>prévoyance incapacité invalidité décès</v>
      </c>
      <c r="C9" s="20"/>
      <c r="D9" s="525" t="str">
        <f>tarifs!D18</f>
        <v>tranche A</v>
      </c>
      <c r="E9" s="526"/>
      <c r="F9" s="525" t="str">
        <f>tarifs!F18</f>
        <v>tranche B</v>
      </c>
      <c r="G9" s="526"/>
      <c r="H9" s="525" t="str">
        <f>tarifs!H18</f>
        <v>tranche C</v>
      </c>
      <c r="I9" s="526"/>
      <c r="J9" s="98"/>
      <c r="K9" s="525" t="str">
        <f>tarifs!D18</f>
        <v>tranche A</v>
      </c>
      <c r="L9" s="526"/>
      <c r="M9" s="525" t="str">
        <f>tarifs!F18</f>
        <v>tranche B</v>
      </c>
      <c r="N9" s="526"/>
      <c r="O9" s="527" t="str">
        <f>tarifs!H18</f>
        <v>tranche C</v>
      </c>
      <c r="P9" s="526"/>
      <c r="Q9" s="98"/>
      <c r="R9" s="611" t="str">
        <f>tarifs!D18</f>
        <v>tranche A</v>
      </c>
      <c r="S9" s="612"/>
      <c r="T9" s="611" t="str">
        <f>tarifs!F18</f>
        <v>tranche B</v>
      </c>
      <c r="U9" s="612"/>
      <c r="V9" s="611" t="str">
        <f>tarifs!H18</f>
        <v>tranche C</v>
      </c>
      <c r="W9" s="612"/>
      <c r="X9" s="20"/>
    </row>
    <row r="10" spans="1:28" s="34" customFormat="1" ht="33.75" customHeight="1" x14ac:dyDescent="0.2">
      <c r="A10" s="41"/>
      <c r="B10" s="442"/>
      <c r="C10" s="20"/>
      <c r="D10" s="379" t="str">
        <f>tarifs!D19</f>
        <v>employé</v>
      </c>
      <c r="E10" s="380" t="str">
        <f>tarifs!E19</f>
        <v>agent de maîtrise cadre</v>
      </c>
      <c r="F10" s="379" t="str">
        <f>tarifs!F19</f>
        <v>employé</v>
      </c>
      <c r="G10" s="380" t="str">
        <f>tarifs!G19</f>
        <v>agent de maîtrise cadre</v>
      </c>
      <c r="H10" s="379" t="str">
        <f>tarifs!H19</f>
        <v>employé</v>
      </c>
      <c r="I10" s="380" t="str">
        <f>tarifs!I19</f>
        <v>agent de maîtrise cadre</v>
      </c>
      <c r="J10" s="12"/>
      <c r="K10" s="379" t="str">
        <f>tarifs!D19</f>
        <v>employé</v>
      </c>
      <c r="L10" s="380" t="str">
        <f>tarifs!E19</f>
        <v>agent de maîtrise cadre</v>
      </c>
      <c r="M10" s="379" t="str">
        <f>tarifs!F19</f>
        <v>employé</v>
      </c>
      <c r="N10" s="380" t="str">
        <f>tarifs!G19</f>
        <v>agent de maîtrise cadre</v>
      </c>
      <c r="O10" s="379" t="str">
        <f>tarifs!H19</f>
        <v>employé</v>
      </c>
      <c r="P10" s="380" t="str">
        <f>tarifs!I19</f>
        <v>agent de maîtrise cadre</v>
      </c>
      <c r="Q10" s="12"/>
      <c r="R10" s="383" t="str">
        <f>tarifs!D19</f>
        <v>employé</v>
      </c>
      <c r="S10" s="384" t="str">
        <f>tarifs!E19</f>
        <v>agent de maîtrise cadre</v>
      </c>
      <c r="T10" s="383" t="str">
        <f>tarifs!F19</f>
        <v>employé</v>
      </c>
      <c r="U10" s="384" t="str">
        <f>tarifs!G19</f>
        <v>agent de maîtrise cadre</v>
      </c>
      <c r="V10" s="383" t="str">
        <f>tarifs!H19</f>
        <v>employé</v>
      </c>
      <c r="W10" s="384" t="str">
        <f>tarifs!I19</f>
        <v>agent de maîtrise cadre</v>
      </c>
      <c r="X10" s="20"/>
    </row>
    <row r="11" spans="1:28" s="34" customFormat="1" ht="11.25" customHeight="1" x14ac:dyDescent="0.2">
      <c r="A11" s="42"/>
      <c r="B11" s="422" t="str">
        <f>tarifs!B20</f>
        <v>agent de droit privé</v>
      </c>
      <c r="C11" s="21"/>
      <c r="D11" s="607">
        <f>IF($B$2&gt;'BS 2015'!$F$39/12,'BS 2015'!$F$39/12*tarifs!$D$20,$B$2*tarifs!$D$20)</f>
        <v>64.456540000000004</v>
      </c>
      <c r="E11" s="608"/>
      <c r="F11" s="544">
        <f>IF($B$2&gt;'BS 2015'!$F$39/12,($B$2-'BS 2015'!$F$39/12)*tarifs!$F$20,0)</f>
        <v>50.84046</v>
      </c>
      <c r="G11" s="545"/>
      <c r="H11" s="533"/>
      <c r="I11" s="534"/>
      <c r="J11" s="101"/>
      <c r="K11" s="607">
        <f>IF($B$2&gt;'BS 2015'!$F$39/12,'BS 2015'!$F$39/12*tarifs!$K$20,$B$2*tarifs!$K$20)</f>
        <v>62.429200000000002</v>
      </c>
      <c r="L11" s="608"/>
      <c r="M11" s="544">
        <f>IF($B$2&gt;'BS 2015'!$F$39/12,($B$2-'BS 2015'!$F$39/12)*tarifs!$M$20,0)</f>
        <v>54.7074</v>
      </c>
      <c r="N11" s="545"/>
      <c r="O11" s="533"/>
      <c r="P11" s="534"/>
      <c r="Q11" s="101"/>
      <c r="R11" s="609">
        <f>(K11-D11)*12</f>
        <v>-24.328080000000028</v>
      </c>
      <c r="S11" s="610"/>
      <c r="T11" s="592">
        <f>(M11-F11)*12</f>
        <v>46.403279999999995</v>
      </c>
      <c r="U11" s="593"/>
      <c r="V11" s="593"/>
      <c r="W11" s="594"/>
      <c r="X11" s="21"/>
    </row>
    <row r="12" spans="1:28" s="34" customFormat="1" ht="11.25" customHeight="1" x14ac:dyDescent="0.2">
      <c r="A12" s="39"/>
      <c r="B12" s="462" t="str">
        <f>tarifs!B21</f>
        <v>part salariale</v>
      </c>
      <c r="C12" s="18"/>
      <c r="D12" s="601">
        <f>IF($B$2&gt;'BS 2015'!$F$39/12,'BS 2015'!$F$39/12*tarifs!$D$21,$B$2*tarifs!$D$21)</f>
        <v>16.765779999999999</v>
      </c>
      <c r="E12" s="603"/>
      <c r="F12" s="115">
        <f>IF($B$2&gt;'BS 2015'!$F$40/12,('BS 2015'!$F$40/12-'BS 2015'!$F$39/12)*tarifs!$F$21,IF($B$2&gt;'BS 2015'!$F$39/12,($B$2-'BS 2015'!$F$39/12)*tarifs!$F$21,0))</f>
        <v>21.34836</v>
      </c>
      <c r="G12" s="116">
        <f>IF($B$2&gt;'BS 2015'!$F$40/12,('BS 2015'!$F$40/12-'BS 2015'!$F$39/12)*tarifs!$G$21,IF($B$2&gt;'BS 2015'!$F$39/12,($B$2-'BS 2015'!$F$39/12)*tarifs!$G$21,0))</f>
        <v>22.880880000000001</v>
      </c>
      <c r="H12" s="601">
        <f>IF($B$2&gt;'BS 2015'!$F$40/12,($B$2-'BS 2015'!$F$40/12)*tarifs!$H$21,0)</f>
        <v>0</v>
      </c>
      <c r="I12" s="603"/>
      <c r="J12" s="101"/>
      <c r="K12" s="601">
        <f>IF($B$2&gt;'BS 2015'!$F$39/12,'BS 2015'!$F$39/12*tarifs!$K$21,$B$2*tarifs!$K$21)</f>
        <v>16.218720000000001</v>
      </c>
      <c r="L12" s="603"/>
      <c r="M12" s="115">
        <f>IF($B$2&gt;'BS 2015'!$F$40/12,('BS 2015'!$F$40/12-'BS 2015'!$F$39/12)*tarifs!$M$21,IF($B$2&gt;'BS 2015'!$F$39/12,($B$2-'BS 2015'!$F$39/12)*tarifs!$M$21,0))</f>
        <v>22.96998</v>
      </c>
      <c r="N12" s="116">
        <f>IF($B$2&gt;'BS 2015'!$F$40/12,('BS 2015'!$F$40/12-'BS 2015'!$F$39/12)*tarifs!$N$21,IF($B$2&gt;'BS 2015'!$F$39/12,($B$2-'BS 2015'!$F$39/12)*tarifs!$N$21,0))</f>
        <v>24.62724</v>
      </c>
      <c r="O12" s="601">
        <f>IF($B$2&gt;'BS 2015'!$F$40/12,($B$2-'BS 2015'!$F$40/12)*tarifs!$O$21,0)</f>
        <v>0</v>
      </c>
      <c r="P12" s="603"/>
      <c r="Q12" s="101"/>
      <c r="R12" s="604">
        <f>(K12-D12)*12</f>
        <v>-6.5647199999999799</v>
      </c>
      <c r="S12" s="606"/>
      <c r="T12" s="117">
        <f>(M12-F12)*12</f>
        <v>19.459440000000001</v>
      </c>
      <c r="U12" s="118">
        <f>(N12-G12)*12</f>
        <v>20.956319999999991</v>
      </c>
      <c r="V12" s="604">
        <f>(O12-H12)*12</f>
        <v>0</v>
      </c>
      <c r="W12" s="606"/>
      <c r="X12" s="18"/>
    </row>
    <row r="13" spans="1:28" s="34" customFormat="1" ht="11.25" customHeight="1" x14ac:dyDescent="0.2">
      <c r="A13" s="39"/>
      <c r="B13" s="463"/>
      <c r="C13" s="18"/>
      <c r="D13" s="446">
        <f>IF(D11=0,0,D12/D11)</f>
        <v>0.26010983524712927</v>
      </c>
      <c r="E13" s="448"/>
      <c r="F13" s="168">
        <f>IF(F11=0,0,F12/F11)</f>
        <v>0.41990886785839465</v>
      </c>
      <c r="G13" s="169">
        <f>IF(F11=0,0,G12/F11)</f>
        <v>0.45005257623554157</v>
      </c>
      <c r="H13" s="446">
        <f>IF(F11=0,0,H12/F11)</f>
        <v>0</v>
      </c>
      <c r="I13" s="448"/>
      <c r="J13" s="24"/>
      <c r="K13" s="446">
        <f>IF(K11=0,0,K12/K11)</f>
        <v>0.25979381443298971</v>
      </c>
      <c r="L13" s="448"/>
      <c r="M13" s="168">
        <f>IF(M11=0,0,M12/M11)</f>
        <v>0.41986970684039088</v>
      </c>
      <c r="N13" s="169">
        <f>IF(M11=0,0,N12/M11)</f>
        <v>0.45016286644951142</v>
      </c>
      <c r="O13" s="446">
        <f>IF(M11=0,0,O12/M11)</f>
        <v>0</v>
      </c>
      <c r="P13" s="448"/>
      <c r="Q13" s="24"/>
      <c r="R13" s="446">
        <f>IF(R11=0,0,R12/R11)</f>
        <v>0.26984126984126872</v>
      </c>
      <c r="S13" s="448"/>
      <c r="T13" s="168">
        <f>IF(T11=0,0,T12/T11)</f>
        <v>0.41935483870967749</v>
      </c>
      <c r="U13" s="169">
        <f>IF(T11=0,0,U12/T11)</f>
        <v>0.45161290322580633</v>
      </c>
      <c r="V13" s="446">
        <f>IF(T11=0,0,V12/T11)</f>
        <v>0</v>
      </c>
      <c r="W13" s="448"/>
      <c r="X13" s="18"/>
    </row>
    <row r="14" spans="1:28" s="34" customFormat="1" ht="11.25" customHeight="1" x14ac:dyDescent="0.2">
      <c r="A14" s="39"/>
      <c r="B14" s="464" t="str">
        <f>tarifs!B23</f>
        <v>part patronale</v>
      </c>
      <c r="C14" s="18"/>
      <c r="D14" s="595">
        <f>IF($B$2&gt;'BS 2015'!$F$39/12,'BS 2015'!$F$39/12*tarifs!$D$23,$B$2*tarifs!$D$23)</f>
        <v>47.690759999999997</v>
      </c>
      <c r="E14" s="597"/>
      <c r="F14" s="107">
        <f>IF($B$2&gt;'BS 2015'!$F$40/12,('BS 2015'!$F$40/12-'BS 2015'!$F$39/12)*tarifs!$F$23,IF($B$2&gt;'BS 2015'!$F$39/12,($B$2-'BS 2015'!$F$39/12)*tarifs!$F$23,0))</f>
        <v>29.492099999999997</v>
      </c>
      <c r="G14" s="108">
        <f>IF($B$2&gt;'BS 2015'!$F$40/12,('BS 2015'!$F$40/12-'BS 2015'!$F$39/12)*tarifs!$G$23,IF($B$2&gt;'BS 2015'!$F$39/12,($B$2-'BS 2015'!$F$39/12)*tarifs!$G$23,0))</f>
        <v>27.959579999999999</v>
      </c>
      <c r="H14" s="595">
        <f>IF($B$2&gt;'BS 2015'!$F$40/12,($B$2-'BS 2015'!$F$40/12)*tarifs!$H$23,0)</f>
        <v>0</v>
      </c>
      <c r="I14" s="597"/>
      <c r="J14" s="101"/>
      <c r="K14" s="595">
        <f>IF($B$2&gt;'BS 2015'!$F$39/12,'BS 2015'!$F$39/12*tarifs!$K$23,$B$2*tarifs!$K$23)</f>
        <v>46.210479999999997</v>
      </c>
      <c r="L14" s="597"/>
      <c r="M14" s="107">
        <f>IF($B$2&gt;'BS 2015'!$F$40/12,('BS 2015'!$F$40/12-'BS 2015'!$F$39/12)*tarifs!$M$23,IF($B$2&gt;'BS 2015'!$F$39/12,($B$2-'BS 2015'!$F$39/12)*tarifs!$M$23,0))</f>
        <v>31.73742</v>
      </c>
      <c r="N14" s="108">
        <f>IF($B$2&gt;'BS 2015'!$F$40/12,('BS 2015'!$F$40/12-'BS 2015'!$F$39/12)*tarifs!$N$23,IF($B$2&gt;'BS 2015'!$F$39/12,($B$2-'BS 2015'!$F$39/12)*tarifs!$N$23,0))</f>
        <v>30.097979999999996</v>
      </c>
      <c r="O14" s="595">
        <f>IF($B$2&gt;'BS 2015'!$F$40/12,($B$2-'BS 2015'!$F$40/12)*tarifs!$O$23,0)</f>
        <v>0</v>
      </c>
      <c r="P14" s="597"/>
      <c r="Q14" s="101"/>
      <c r="R14" s="598">
        <f>(K14-D14)*12</f>
        <v>-17.763360000000006</v>
      </c>
      <c r="S14" s="600"/>
      <c r="T14" s="109">
        <f>(M14-F14)*12</f>
        <v>26.943840000000037</v>
      </c>
      <c r="U14" s="110">
        <f>(N14-G14)*12</f>
        <v>25.660799999999966</v>
      </c>
      <c r="V14" s="598">
        <f>(O14-H14)*12</f>
        <v>0</v>
      </c>
      <c r="W14" s="600"/>
      <c r="X14" s="18"/>
    </row>
    <row r="15" spans="1:28" s="34" customFormat="1" ht="11.25" customHeight="1" x14ac:dyDescent="0.2">
      <c r="A15" s="39"/>
      <c r="B15" s="465"/>
      <c r="C15" s="18"/>
      <c r="D15" s="452">
        <f>IF(D11=0,0,D14/D11)</f>
        <v>0.73989016475287062</v>
      </c>
      <c r="E15" s="454"/>
      <c r="F15" s="170">
        <f>IF(F11=0,0,F14/F11)</f>
        <v>0.58009113214160524</v>
      </c>
      <c r="G15" s="171">
        <f>IF(F11=0,0,G14/F11)</f>
        <v>0.54994742376445849</v>
      </c>
      <c r="H15" s="452">
        <f>IF(F11=0,0,H14/F11)</f>
        <v>0</v>
      </c>
      <c r="I15" s="454"/>
      <c r="J15" s="24"/>
      <c r="K15" s="452">
        <f>IF(K11=0,0,K14/K11)</f>
        <v>0.74020618556701023</v>
      </c>
      <c r="L15" s="454"/>
      <c r="M15" s="170">
        <f>IF(M11=0,0,M14/M11)</f>
        <v>0.58013029315960918</v>
      </c>
      <c r="N15" s="171">
        <f>IF(M11=0,0,N14/M11)</f>
        <v>0.55016286644951129</v>
      </c>
      <c r="O15" s="452">
        <f>IF(M11=0,0,O14/M11)</f>
        <v>0</v>
      </c>
      <c r="P15" s="454"/>
      <c r="Q15" s="24"/>
      <c r="R15" s="452">
        <f>IF(R11=0,0,R14/R11)</f>
        <v>0.73015873015872956</v>
      </c>
      <c r="S15" s="454"/>
      <c r="T15" s="170">
        <f>IF(T11=0,0,T14/T11)</f>
        <v>0.5806451612903234</v>
      </c>
      <c r="U15" s="171">
        <f>IF(T11=0,0,U14/T11)</f>
        <v>0.55299539170506851</v>
      </c>
      <c r="V15" s="452">
        <f>IF(T11=0,0,V14/T11)</f>
        <v>0</v>
      </c>
      <c r="W15" s="454"/>
      <c r="X15" s="18"/>
    </row>
    <row r="16" spans="1:28" s="34" customFormat="1" ht="11.25" customHeight="1" x14ac:dyDescent="0.2">
      <c r="A16" s="39"/>
      <c r="B16" s="422" t="str">
        <f>tarifs!B25</f>
        <v>agent de droit public</v>
      </c>
      <c r="C16" s="18"/>
      <c r="D16" s="607">
        <f>IF($B$2&gt;'BS 2015'!$F$39/12,'BS 2015'!$F$39/12*tarifs!$D$25,$B$2*tarifs!$D$25)</f>
        <v>67.867620000000002</v>
      </c>
      <c r="E16" s="608"/>
      <c r="F16" s="544">
        <f>IF($B$2&gt;'BS 2015'!$F$39/12,($B$2-'BS 2015'!$F$39/12)*tarifs!$F$25,0)</f>
        <v>39.417839999999998</v>
      </c>
      <c r="G16" s="545"/>
      <c r="H16" s="533"/>
      <c r="I16" s="534"/>
      <c r="J16" s="101"/>
      <c r="K16" s="607">
        <f>IF($B$2&gt;'BS 2015'!$F$39/12,'BS 2015'!$F$39/12*tarifs!$K$25,$B$2*tarifs!$K$25)</f>
        <v>67.578000000000003</v>
      </c>
      <c r="L16" s="608"/>
      <c r="M16" s="544">
        <f>IF($B$2&gt;'BS 2015'!$F$39/12,($B$2-'BS 2015'!$F$39/12)*tarifs!$M$25,0)</f>
        <v>39.738599999999998</v>
      </c>
      <c r="N16" s="545"/>
      <c r="O16" s="545"/>
      <c r="P16" s="546"/>
      <c r="Q16" s="101"/>
      <c r="R16" s="609">
        <f>(K16-D16)*12</f>
        <v>-3.4754399999999919</v>
      </c>
      <c r="S16" s="610"/>
      <c r="T16" s="592">
        <f>(M16-F16)*12</f>
        <v>3.8491199999999992</v>
      </c>
      <c r="U16" s="593"/>
      <c r="V16" s="593"/>
      <c r="W16" s="594"/>
      <c r="X16" s="18"/>
    </row>
    <row r="17" spans="1:24" s="34" customFormat="1" ht="11.25" customHeight="1" x14ac:dyDescent="0.2">
      <c r="A17" s="39"/>
      <c r="B17" s="462" t="str">
        <f>tarifs!B26</f>
        <v>part salariale</v>
      </c>
      <c r="C17" s="18"/>
      <c r="D17" s="601">
        <f>IF($B$2&gt;'BS 2015'!$F$39/12,'BS 2015'!$F$39/12*tarifs!$D$26,$B$2*tarifs!$D$26)</f>
        <v>17.634639999999997</v>
      </c>
      <c r="E17" s="603"/>
      <c r="F17" s="115">
        <f>IF($B$2&gt;'BS 2015'!$F$40/12,('BS 2015'!$F$40/12-'BS 2015'!$F$39/12)*tarifs!$F$26,IF($B$2&gt;'BS 2015'!$F$39/12,($B$2-'BS 2015'!$F$39/12)*tarifs!$F$26,0))</f>
        <v>16.554780000000001</v>
      </c>
      <c r="G17" s="116">
        <f>IF($B$2&gt;'BS 2015'!$F$40/12,('BS 2015'!$F$40/12-'BS 2015'!$F$39/12)*tarifs!$G$26,IF($B$2&gt;'BS 2015'!$F$39/12,($B$2-'BS 2015'!$F$39/12)*tarifs!$G$26,0))</f>
        <v>17.730900000000002</v>
      </c>
      <c r="H17" s="601">
        <f>IF($B$2&gt;'BS 2015'!$F$40/12,($B$2-'BS 2015'!$F$40/12)*tarifs!$H$26,0)</f>
        <v>0</v>
      </c>
      <c r="I17" s="603"/>
      <c r="J17" s="101"/>
      <c r="K17" s="601">
        <f>IF($B$2&gt;'BS 2015'!$F$39/12,'BS 2015'!$F$39/12*tarifs!$K$26,$B$2*tarifs!$K$26)</f>
        <v>17.57028</v>
      </c>
      <c r="L17" s="603"/>
      <c r="M17" s="115">
        <f>IF($B$2&gt;'BS 2015'!$F$40/12,('BS 2015'!$F$40/12-'BS 2015'!$F$39/12)*tarifs!$M$26,IF($B$2&gt;'BS 2015'!$F$39/12,($B$2-'BS 2015'!$F$39/12)*tarifs!$M$26,0))</f>
        <v>16.697340000000001</v>
      </c>
      <c r="N17" s="116">
        <f>IF($B$2&gt;'BS 2015'!$F$40/12,('BS 2015'!$F$40/12-'BS 2015'!$F$39/12)*tarifs!$N$26,IF($B$2&gt;'BS 2015'!$F$39/12,($B$2-'BS 2015'!$F$39/12)*tarifs!$N$26,0))</f>
        <v>17.891280000000002</v>
      </c>
      <c r="O17" s="601">
        <f>IF($B$2&gt;'BS 2015'!$F$40/12,($B$2-'BS 2015'!$F$40/12)*tarifs!$O$26,0)</f>
        <v>0</v>
      </c>
      <c r="P17" s="603"/>
      <c r="Q17" s="101"/>
      <c r="R17" s="604">
        <f>(K17-D17)*12</f>
        <v>-0.77231999999996503</v>
      </c>
      <c r="S17" s="606"/>
      <c r="T17" s="117">
        <f>(M17-F17)*12</f>
        <v>1.7107199999999949</v>
      </c>
      <c r="U17" s="118">
        <f>(N17-G17)*12</f>
        <v>1.9245599999999996</v>
      </c>
      <c r="V17" s="604">
        <f>(O17-H17)*12</f>
        <v>0</v>
      </c>
      <c r="W17" s="606"/>
      <c r="X17" s="18"/>
    </row>
    <row r="18" spans="1:24" s="34" customFormat="1" ht="11.25" customHeight="1" x14ac:dyDescent="0.2">
      <c r="A18" s="39"/>
      <c r="B18" s="463"/>
      <c r="C18" s="18"/>
      <c r="D18" s="446">
        <f>IF(D16=0,0,D17/D16)</f>
        <v>0.25983878615457556</v>
      </c>
      <c r="E18" s="448"/>
      <c r="F18" s="168">
        <f>IF(F16=0,0,F17/F16)</f>
        <v>0.41998191681735991</v>
      </c>
      <c r="G18" s="169">
        <f>IF(F16=0,0,G17/F16)</f>
        <v>0.44981916817359863</v>
      </c>
      <c r="H18" s="446">
        <f>IF(F16=0,0,H17/F16)</f>
        <v>0</v>
      </c>
      <c r="I18" s="448"/>
      <c r="J18" s="24"/>
      <c r="K18" s="446">
        <f>IF(K16=0,0,K17/K16)</f>
        <v>0.26</v>
      </c>
      <c r="L18" s="448"/>
      <c r="M18" s="168">
        <f>IF(M16=0,0,M17/M16)</f>
        <v>0.42017937219730944</v>
      </c>
      <c r="N18" s="169">
        <f>IF(M16=0,0,N17/M16)</f>
        <v>0.45022421524663686</v>
      </c>
      <c r="O18" s="446">
        <f>IF(M16=0,0,O17/M16)</f>
        <v>0</v>
      </c>
      <c r="P18" s="448"/>
      <c r="Q18" s="24"/>
      <c r="R18" s="446">
        <f>IF(R16=0,0,R17/R16)</f>
        <v>0.22222222222221269</v>
      </c>
      <c r="S18" s="448"/>
      <c r="T18" s="168">
        <f>IF(T16=0,0,T17/T16)</f>
        <v>0.4444444444444432</v>
      </c>
      <c r="U18" s="169">
        <f>IF(T16=0,0,U17/T16)</f>
        <v>0.5</v>
      </c>
      <c r="V18" s="446">
        <f>IF(T16=0,0,V17/T16)</f>
        <v>0</v>
      </c>
      <c r="W18" s="448"/>
      <c r="X18" s="18"/>
    </row>
    <row r="19" spans="1:24" s="34" customFormat="1" ht="11.25" customHeight="1" x14ac:dyDescent="0.2">
      <c r="A19" s="39"/>
      <c r="B19" s="464" t="str">
        <f>tarifs!B28</f>
        <v>part patronale</v>
      </c>
      <c r="C19" s="18"/>
      <c r="D19" s="595">
        <f>IF($B$2&gt;'BS 2015'!$F$39/12,'BS 2015'!$F$39/12*tarifs!$D$28,$B$2*tarifs!$D$28)</f>
        <v>50.232980000000005</v>
      </c>
      <c r="E19" s="597"/>
      <c r="F19" s="107">
        <f>IF($B$2&gt;'BS 2015'!$F$40/12,('BS 2015'!$F$40/12-'BS 2015'!$F$39/12)*tarifs!$F$28,IF($B$2&gt;'BS 2015'!$F$39/12,($B$2-'BS 2015'!$F$39/12)*tarifs!$F$28,0))</f>
        <v>22.863059999999997</v>
      </c>
      <c r="G19" s="108">
        <f>IF($B$2&gt;'BS 2015'!$F$40/12,('BS 2015'!$F$40/12-'BS 2015'!$F$39/12)*tarifs!$G$28,IF($B$2&gt;'BS 2015'!$F$39/12,($B$2-'BS 2015'!$F$39/12)*tarifs!$G$28,0))</f>
        <v>21.68694</v>
      </c>
      <c r="H19" s="595">
        <f>IF($B$2&gt;'BS 2015'!$F$40/12,($B$2-'BS 2015'!$F$40/12)*tarifs!$H$28,0)</f>
        <v>0</v>
      </c>
      <c r="I19" s="597"/>
      <c r="J19" s="101"/>
      <c r="K19" s="595">
        <f>IF($B$2&gt;'BS 2015'!$F$39/12,'BS 2015'!$F$39/12*tarifs!$K$28,$B$2*tarifs!$K$28)</f>
        <v>50.007719999999999</v>
      </c>
      <c r="L19" s="597"/>
      <c r="M19" s="107">
        <f>IF($B$2&gt;'BS 2015'!$F$40/12,('BS 2015'!$F$40/12-'BS 2015'!$F$39/12)*tarifs!$M$28,IF($B$2&gt;'BS 2015'!$F$39/12,($B$2-'BS 2015'!$F$39/12)*tarifs!$M$28,0))</f>
        <v>23.041260000000001</v>
      </c>
      <c r="N19" s="108">
        <f>IF($B$2&gt;'BS 2015'!$F$40/12,('BS 2015'!$F$40/12-'BS 2015'!$F$39/12)*tarifs!$N$28,IF($B$2&gt;'BS 2015'!$F$39/12,($B$2-'BS 2015'!$F$39/12)*tarifs!$N$28,0))</f>
        <v>21.86514</v>
      </c>
      <c r="O19" s="595">
        <f>IF($B$2&gt;'BS 2015'!$F$40/12,($B$2-'BS 2015'!$F$40/12)*tarifs!$O$28,0)</f>
        <v>0</v>
      </c>
      <c r="P19" s="597"/>
      <c r="Q19" s="101"/>
      <c r="R19" s="598">
        <f>(K19-D19)*12</f>
        <v>-2.7031200000000695</v>
      </c>
      <c r="S19" s="600"/>
      <c r="T19" s="109">
        <f>(M19-F19)*12</f>
        <v>2.1384000000000469</v>
      </c>
      <c r="U19" s="110">
        <f>(N19-G19)*12</f>
        <v>2.1384000000000043</v>
      </c>
      <c r="V19" s="598">
        <f>(O19-H19)*12</f>
        <v>0</v>
      </c>
      <c r="W19" s="600"/>
      <c r="X19" s="18"/>
    </row>
    <row r="20" spans="1:24" s="34" customFormat="1" ht="11.25" customHeight="1" x14ac:dyDescent="0.2">
      <c r="A20" s="39"/>
      <c r="B20" s="465"/>
      <c r="C20" s="18"/>
      <c r="D20" s="452">
        <f>IF(D16=0,0,D19/D16)</f>
        <v>0.74016121384542444</v>
      </c>
      <c r="E20" s="454"/>
      <c r="F20" s="170">
        <f>IF(F16=0,0,F19/F16)</f>
        <v>0.58001808318264014</v>
      </c>
      <c r="G20" s="171">
        <f>IF(F16=0,0,G19/F16)</f>
        <v>0.55018083182640143</v>
      </c>
      <c r="H20" s="452">
        <f>IF(F16=0,0,H19/F16)</f>
        <v>0</v>
      </c>
      <c r="I20" s="454"/>
      <c r="J20" s="24"/>
      <c r="K20" s="452">
        <f>IF(K16=0,0,K19/K16)</f>
        <v>0.74</v>
      </c>
      <c r="L20" s="454"/>
      <c r="M20" s="170">
        <f>IF(M16=0,0,M19/M16)</f>
        <v>0.57982062780269061</v>
      </c>
      <c r="N20" s="171">
        <f>IF(M16=0,0,N19/M16)</f>
        <v>0.55022421524663678</v>
      </c>
      <c r="O20" s="452">
        <f>IF(M16=0,0,O19/M16)</f>
        <v>0</v>
      </c>
      <c r="P20" s="454"/>
      <c r="Q20" s="24"/>
      <c r="R20" s="452">
        <f>IF(R16=0,0,R19/R16)</f>
        <v>0.77777777777779955</v>
      </c>
      <c r="S20" s="454"/>
      <c r="T20" s="170">
        <f>IF(T16=0,0,T19/T16)</f>
        <v>0.5555555555555679</v>
      </c>
      <c r="U20" s="171">
        <f>IF(T16=0,0,U19/T16)</f>
        <v>0.5555555555555568</v>
      </c>
      <c r="V20" s="452">
        <f>IF(T16=0,0,V19/T16)</f>
        <v>0</v>
      </c>
      <c r="W20" s="454"/>
      <c r="X20" s="18"/>
    </row>
    <row r="21" spans="1:24" s="34" customFormat="1" ht="11.25" customHeight="1" x14ac:dyDescent="0.2">
      <c r="A21" s="39"/>
      <c r="B21" s="430" t="str">
        <f>tarifs!B30</f>
        <v>maintien du revenu agent public</v>
      </c>
      <c r="C21" s="18"/>
      <c r="D21" s="544">
        <f>$B$2*tarifs!$D$30</f>
        <v>24.25</v>
      </c>
      <c r="E21" s="545"/>
      <c r="F21" s="545"/>
      <c r="G21" s="545"/>
      <c r="H21" s="545"/>
      <c r="I21" s="546"/>
      <c r="J21" s="101"/>
      <c r="K21" s="544">
        <f>$B$2*tarifs!$K$30</f>
        <v>31.549999999999997</v>
      </c>
      <c r="L21" s="545"/>
      <c r="M21" s="545"/>
      <c r="N21" s="545"/>
      <c r="O21" s="545"/>
      <c r="P21" s="546"/>
      <c r="Q21" s="101"/>
      <c r="R21" s="592">
        <f>(K21-D21)*12</f>
        <v>87.599999999999966</v>
      </c>
      <c r="S21" s="593"/>
      <c r="T21" s="593"/>
      <c r="U21" s="593"/>
      <c r="V21" s="593"/>
      <c r="W21" s="594"/>
      <c r="X21" s="18"/>
    </row>
    <row r="22" spans="1:24" s="34" customFormat="1" ht="11.25" customHeight="1" x14ac:dyDescent="0.2">
      <c r="A22" s="39"/>
      <c r="B22" s="462" t="str">
        <f>tarifs!B31</f>
        <v>part salariale</v>
      </c>
      <c r="C22" s="18"/>
      <c r="D22" s="601">
        <f>$B$2*tarifs!$D$31</f>
        <v>9.7000000000000011</v>
      </c>
      <c r="E22" s="602"/>
      <c r="F22" s="602"/>
      <c r="G22" s="602"/>
      <c r="H22" s="602"/>
      <c r="I22" s="603"/>
      <c r="J22" s="101"/>
      <c r="K22" s="601">
        <f>$B$2*tarifs!$K$31</f>
        <v>12.6</v>
      </c>
      <c r="L22" s="602"/>
      <c r="M22" s="602"/>
      <c r="N22" s="602"/>
      <c r="O22" s="602"/>
      <c r="P22" s="603"/>
      <c r="Q22" s="101"/>
      <c r="R22" s="604">
        <f>(K22-D22)*12</f>
        <v>34.799999999999983</v>
      </c>
      <c r="S22" s="605"/>
      <c r="T22" s="605"/>
      <c r="U22" s="605"/>
      <c r="V22" s="605"/>
      <c r="W22" s="606"/>
      <c r="X22" s="18"/>
    </row>
    <row r="23" spans="1:24" s="34" customFormat="1" ht="11.25" customHeight="1" x14ac:dyDescent="0.2">
      <c r="A23" s="39"/>
      <c r="B23" s="463"/>
      <c r="C23" s="18"/>
      <c r="D23" s="446">
        <f>IF(D21=0,0,D22/D21)</f>
        <v>0.4</v>
      </c>
      <c r="E23" s="447"/>
      <c r="F23" s="447"/>
      <c r="G23" s="447"/>
      <c r="H23" s="447"/>
      <c r="I23" s="448"/>
      <c r="J23" s="24"/>
      <c r="K23" s="446">
        <f>IF(K21=0,0,K22/K21)</f>
        <v>0.39936608557844694</v>
      </c>
      <c r="L23" s="447"/>
      <c r="M23" s="447"/>
      <c r="N23" s="447"/>
      <c r="O23" s="447"/>
      <c r="P23" s="448"/>
      <c r="Q23" s="24"/>
      <c r="R23" s="446">
        <f>IF(R21=0,0,R22/R21)</f>
        <v>0.39726027397260272</v>
      </c>
      <c r="S23" s="447"/>
      <c r="T23" s="447"/>
      <c r="U23" s="447"/>
      <c r="V23" s="447"/>
      <c r="W23" s="448"/>
      <c r="X23" s="18"/>
    </row>
    <row r="24" spans="1:24" s="34" customFormat="1" ht="11.25" customHeight="1" x14ac:dyDescent="0.2">
      <c r="A24" s="39"/>
      <c r="B24" s="464" t="str">
        <f>tarifs!B33</f>
        <v>part patronale</v>
      </c>
      <c r="C24" s="18"/>
      <c r="D24" s="595">
        <f>$B$2*tarifs!$D$33</f>
        <v>14.549999999999999</v>
      </c>
      <c r="E24" s="596"/>
      <c r="F24" s="596"/>
      <c r="G24" s="596"/>
      <c r="H24" s="596"/>
      <c r="I24" s="597"/>
      <c r="J24" s="101"/>
      <c r="K24" s="595">
        <f>$B$2*tarifs!$K$33</f>
        <v>18.95</v>
      </c>
      <c r="L24" s="596"/>
      <c r="M24" s="596"/>
      <c r="N24" s="596"/>
      <c r="O24" s="596"/>
      <c r="P24" s="597"/>
      <c r="Q24" s="101"/>
      <c r="R24" s="598">
        <f>(K24-D24)*12</f>
        <v>52.800000000000004</v>
      </c>
      <c r="S24" s="599"/>
      <c r="T24" s="599"/>
      <c r="U24" s="599"/>
      <c r="V24" s="599"/>
      <c r="W24" s="600"/>
      <c r="X24" s="18"/>
    </row>
    <row r="25" spans="1:24" s="34" customFormat="1" ht="11.25" customHeight="1" x14ac:dyDescent="0.2">
      <c r="A25" s="39"/>
      <c r="B25" s="465"/>
      <c r="C25" s="18"/>
      <c r="D25" s="452">
        <f>IF(D21=0,0,D24/D21)</f>
        <v>0.6</v>
      </c>
      <c r="E25" s="453"/>
      <c r="F25" s="453"/>
      <c r="G25" s="453"/>
      <c r="H25" s="453"/>
      <c r="I25" s="454"/>
      <c r="J25" s="24"/>
      <c r="K25" s="452">
        <f>IF(K21=0,0,K24/K21)</f>
        <v>0.60063391442155312</v>
      </c>
      <c r="L25" s="453"/>
      <c r="M25" s="453"/>
      <c r="N25" s="453"/>
      <c r="O25" s="453"/>
      <c r="P25" s="454"/>
      <c r="Q25" s="24"/>
      <c r="R25" s="452">
        <f>IF(R21=0,0,R24/R21)</f>
        <v>0.60273972602739756</v>
      </c>
      <c r="S25" s="453"/>
      <c r="T25" s="453"/>
      <c r="U25" s="453"/>
      <c r="V25" s="453"/>
      <c r="W25" s="454"/>
      <c r="X25" s="18"/>
    </row>
    <row r="26" spans="1:24" s="34" customFormat="1" ht="5.0999999999999996" customHeight="1" x14ac:dyDescent="0.2">
      <c r="A26" s="11"/>
      <c r="B26" s="421"/>
      <c r="C26" s="11"/>
      <c r="D26" s="13"/>
      <c r="E26" s="13"/>
      <c r="F26" s="13"/>
      <c r="G26" s="13"/>
      <c r="H26" s="13"/>
      <c r="I26" s="13"/>
      <c r="J26" s="13"/>
      <c r="K26" s="12"/>
      <c r="L26" s="13"/>
      <c r="M26" s="13"/>
      <c r="N26" s="12"/>
      <c r="O26" s="13"/>
      <c r="P26" s="13"/>
      <c r="Q26" s="13"/>
      <c r="R26" s="33"/>
      <c r="S26" s="33"/>
      <c r="T26" s="33"/>
      <c r="U26" s="33"/>
      <c r="V26" s="33"/>
      <c r="W26" s="33"/>
      <c r="X26" s="11"/>
    </row>
    <row r="27" spans="1:24" s="34" customFormat="1" ht="11.25" customHeight="1" x14ac:dyDescent="0.2">
      <c r="A27" s="29"/>
      <c r="B27" s="427" t="str">
        <f>tarifs!$B$42</f>
        <v>légende couleurs</v>
      </c>
      <c r="C27" s="29"/>
      <c r="D27" s="628"/>
      <c r="E27" s="629"/>
      <c r="F27" s="629"/>
      <c r="G27" s="629"/>
      <c r="H27" s="629"/>
      <c r="I27" s="630"/>
      <c r="J27" s="30"/>
      <c r="K27" s="478" t="str">
        <f>tarifs!$K$42</f>
        <v>les taux 2016 seront modifiés en 2017 !</v>
      </c>
      <c r="L27" s="479"/>
      <c r="M27" s="479"/>
      <c r="N27" s="479"/>
      <c r="O27" s="479"/>
      <c r="P27" s="480"/>
      <c r="Q27" s="31"/>
      <c r="R27" s="586" t="str">
        <f>tarifs!$R$42</f>
        <v>évolution part salariale santé = 25% évolution forfait</v>
      </c>
      <c r="S27" s="587"/>
      <c r="T27" s="587"/>
      <c r="U27" s="587"/>
      <c r="V27" s="587"/>
      <c r="W27" s="588"/>
      <c r="X27" s="29"/>
    </row>
    <row r="28" spans="1:24" s="43" customFormat="1" ht="5.0999999999999996" customHeight="1" x14ac:dyDescent="0.2">
      <c r="A28" s="15"/>
      <c r="B28" s="15"/>
      <c r="C28" s="15"/>
      <c r="D28" s="23"/>
      <c r="E28" s="23"/>
      <c r="F28" s="23"/>
      <c r="G28" s="23"/>
      <c r="H28" s="23"/>
      <c r="I28" s="23"/>
      <c r="J28" s="23"/>
      <c r="K28" s="23"/>
      <c r="L28" s="23"/>
      <c r="M28" s="23"/>
      <c r="N28" s="23"/>
      <c r="O28" s="23"/>
      <c r="P28" s="23"/>
      <c r="Q28" s="23"/>
      <c r="R28" s="44"/>
      <c r="S28" s="44"/>
      <c r="T28" s="44"/>
      <c r="U28" s="44"/>
      <c r="V28" s="44"/>
      <c r="W28" s="44"/>
      <c r="X28" s="15"/>
    </row>
  </sheetData>
  <mergeCells count="121">
    <mergeCell ref="D2:I2"/>
    <mergeCell ref="K2:P2"/>
    <mergeCell ref="R2:W2"/>
    <mergeCell ref="D4:F4"/>
    <mergeCell ref="G4:I4"/>
    <mergeCell ref="K4:M4"/>
    <mergeCell ref="N4:P4"/>
    <mergeCell ref="R4:T4"/>
    <mergeCell ref="U4:W4"/>
    <mergeCell ref="D6:F6"/>
    <mergeCell ref="G6:I6"/>
    <mergeCell ref="K6:M6"/>
    <mergeCell ref="N6:P6"/>
    <mergeCell ref="R6:T6"/>
    <mergeCell ref="U6:W6"/>
    <mergeCell ref="D5:F5"/>
    <mergeCell ref="G5:I5"/>
    <mergeCell ref="K5:M5"/>
    <mergeCell ref="N5:P5"/>
    <mergeCell ref="R5:T5"/>
    <mergeCell ref="U5:W5"/>
    <mergeCell ref="K9:L9"/>
    <mergeCell ref="M9:N9"/>
    <mergeCell ref="O9:P9"/>
    <mergeCell ref="R9:S9"/>
    <mergeCell ref="T9:U9"/>
    <mergeCell ref="D7:F7"/>
    <mergeCell ref="G7:I7"/>
    <mergeCell ref="K7:M7"/>
    <mergeCell ref="N7:P7"/>
    <mergeCell ref="R7:T7"/>
    <mergeCell ref="U7:W7"/>
    <mergeCell ref="V9:W9"/>
    <mergeCell ref="D11:E11"/>
    <mergeCell ref="F11:I11"/>
    <mergeCell ref="K11:L11"/>
    <mergeCell ref="M11:P11"/>
    <mergeCell ref="R11:S11"/>
    <mergeCell ref="T11:W11"/>
    <mergeCell ref="B12:B13"/>
    <mergeCell ref="D12:E12"/>
    <mergeCell ref="H12:I12"/>
    <mergeCell ref="K12:L12"/>
    <mergeCell ref="O12:P12"/>
    <mergeCell ref="R12:S12"/>
    <mergeCell ref="V12:W12"/>
    <mergeCell ref="D13:E13"/>
    <mergeCell ref="H13:I13"/>
    <mergeCell ref="K13:L13"/>
    <mergeCell ref="O13:P13"/>
    <mergeCell ref="R13:S13"/>
    <mergeCell ref="V13:W13"/>
    <mergeCell ref="B9:B10"/>
    <mergeCell ref="D9:E9"/>
    <mergeCell ref="F9:G9"/>
    <mergeCell ref="H9:I9"/>
    <mergeCell ref="B14:B15"/>
    <mergeCell ref="D14:E14"/>
    <mergeCell ref="H14:I14"/>
    <mergeCell ref="K14:L14"/>
    <mergeCell ref="O14:P14"/>
    <mergeCell ref="R14:S14"/>
    <mergeCell ref="D16:E16"/>
    <mergeCell ref="F16:I16"/>
    <mergeCell ref="K16:L16"/>
    <mergeCell ref="M16:P16"/>
    <mergeCell ref="R16:S16"/>
    <mergeCell ref="T16:W16"/>
    <mergeCell ref="V14:W14"/>
    <mergeCell ref="D15:E15"/>
    <mergeCell ref="H15:I15"/>
    <mergeCell ref="K15:L15"/>
    <mergeCell ref="O15:P15"/>
    <mergeCell ref="R15:S15"/>
    <mergeCell ref="V15:W15"/>
    <mergeCell ref="V17:W17"/>
    <mergeCell ref="D18:E18"/>
    <mergeCell ref="H18:I18"/>
    <mergeCell ref="K18:L18"/>
    <mergeCell ref="O18:P18"/>
    <mergeCell ref="R18:S18"/>
    <mergeCell ref="V18:W18"/>
    <mergeCell ref="B17:B18"/>
    <mergeCell ref="D17:E17"/>
    <mergeCell ref="H17:I17"/>
    <mergeCell ref="K17:L17"/>
    <mergeCell ref="O17:P17"/>
    <mergeCell ref="R17:S17"/>
    <mergeCell ref="V19:W19"/>
    <mergeCell ref="D20:E20"/>
    <mergeCell ref="H20:I20"/>
    <mergeCell ref="K20:L20"/>
    <mergeCell ref="O20:P20"/>
    <mergeCell ref="R20:S20"/>
    <mergeCell ref="V20:W20"/>
    <mergeCell ref="B19:B20"/>
    <mergeCell ref="D19:E19"/>
    <mergeCell ref="H19:I19"/>
    <mergeCell ref="K19:L19"/>
    <mergeCell ref="O19:P19"/>
    <mergeCell ref="R19:S19"/>
    <mergeCell ref="D21:I21"/>
    <mergeCell ref="K21:P21"/>
    <mergeCell ref="R21:W21"/>
    <mergeCell ref="B22:B23"/>
    <mergeCell ref="D22:I22"/>
    <mergeCell ref="K22:P22"/>
    <mergeCell ref="R22:W22"/>
    <mergeCell ref="D23:I23"/>
    <mergeCell ref="K23:P23"/>
    <mergeCell ref="R23:W23"/>
    <mergeCell ref="D27:I27"/>
    <mergeCell ref="K27:P27"/>
    <mergeCell ref="R27:W27"/>
    <mergeCell ref="B24:B25"/>
    <mergeCell ref="D24:I24"/>
    <mergeCell ref="K24:P24"/>
    <mergeCell ref="R24:W24"/>
    <mergeCell ref="D25:I25"/>
    <mergeCell ref="K25:P25"/>
    <mergeCell ref="R25:W25"/>
  </mergeCells>
  <pageMargins left="0.7" right="0.7" top="0.75" bottom="0.75" header="0.3" footer="0.3"/>
  <pageSetup paperSize="9" orientation="portrait" horizontalDpi="120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8"/>
  <sheetViews>
    <sheetView showGridLines="0" showZeros="0" zoomScaleNormal="100" workbookViewId="0"/>
  </sheetViews>
  <sheetFormatPr baseColWidth="10" defaultColWidth="11.42578125" defaultRowHeight="11.25" x14ac:dyDescent="0.2"/>
  <cols>
    <col min="1" max="1" width="0.85546875" style="299" customWidth="1"/>
    <col min="2" max="2" width="23" style="299" customWidth="1"/>
    <col min="3" max="3" width="0.85546875" style="299" customWidth="1"/>
    <col min="4" max="9" width="6.7109375" style="299" customWidth="1"/>
    <col min="10" max="10" width="0.85546875" style="299" customWidth="1"/>
    <col min="11" max="16" width="6.7109375" style="299" customWidth="1"/>
    <col min="17" max="17" width="0.85546875" style="299" customWidth="1"/>
    <col min="18" max="23" width="6.7109375" style="299" customWidth="1"/>
    <col min="24" max="24" width="0.85546875" style="299" customWidth="1"/>
    <col min="25" max="25" width="3.7109375" style="299" customWidth="1"/>
    <col min="26" max="16384" width="11.42578125" style="299"/>
  </cols>
  <sheetData>
    <row r="1" spans="1:28" s="43" customFormat="1" ht="5.0999999999999996" customHeight="1" x14ac:dyDescent="0.2">
      <c r="A1" s="15"/>
      <c r="B1" s="35"/>
      <c r="C1" s="15"/>
      <c r="D1" s="36"/>
      <c r="E1" s="36"/>
      <c r="F1" s="36"/>
      <c r="G1" s="36"/>
      <c r="H1" s="36"/>
      <c r="I1" s="36"/>
      <c r="J1" s="23"/>
      <c r="K1" s="36"/>
      <c r="L1" s="36"/>
      <c r="M1" s="36"/>
      <c r="N1" s="36"/>
      <c r="O1" s="36"/>
      <c r="P1" s="36"/>
      <c r="Q1" s="23"/>
      <c r="R1" s="37"/>
      <c r="S1" s="37"/>
      <c r="T1" s="37"/>
      <c r="U1" s="37"/>
      <c r="V1" s="37"/>
      <c r="W1" s="37"/>
      <c r="X1" s="15"/>
    </row>
    <row r="2" spans="1:28" s="34" customFormat="1" ht="11.25" customHeight="1" x14ac:dyDescent="0.2">
      <c r="A2" s="15"/>
      <c r="B2" s="428">
        <v>15000</v>
      </c>
      <c r="C2" s="14"/>
      <c r="D2" s="522">
        <f>tarifs!$D$2</f>
        <v>2016</v>
      </c>
      <c r="E2" s="523"/>
      <c r="F2" s="523"/>
      <c r="G2" s="523"/>
      <c r="H2" s="523"/>
      <c r="I2" s="524"/>
      <c r="J2" s="95"/>
      <c r="K2" s="522">
        <f>tarifs!$K$2</f>
        <v>2017</v>
      </c>
      <c r="L2" s="523"/>
      <c r="M2" s="523"/>
      <c r="N2" s="523"/>
      <c r="O2" s="523"/>
      <c r="P2" s="524"/>
      <c r="Q2" s="23"/>
      <c r="R2" s="619" t="s">
        <v>43</v>
      </c>
      <c r="S2" s="620"/>
      <c r="T2" s="620"/>
      <c r="U2" s="620"/>
      <c r="V2" s="620"/>
      <c r="W2" s="621"/>
      <c r="X2" s="14"/>
    </row>
    <row r="3" spans="1:28" s="34" customFormat="1" ht="5.0999999999999996" customHeight="1" x14ac:dyDescent="0.2">
      <c r="A3" s="15"/>
      <c r="B3" s="415"/>
      <c r="C3" s="15"/>
      <c r="D3" s="8"/>
      <c r="E3" s="8"/>
      <c r="F3" s="8"/>
      <c r="G3" s="8"/>
      <c r="H3" s="8"/>
      <c r="I3" s="8"/>
      <c r="J3" s="23"/>
      <c r="K3" s="8"/>
      <c r="L3" s="8"/>
      <c r="M3" s="8"/>
      <c r="N3" s="8"/>
      <c r="O3" s="8"/>
      <c r="P3" s="8"/>
      <c r="Q3" s="23"/>
      <c r="R3" s="9"/>
      <c r="S3" s="9"/>
      <c r="T3" s="9"/>
      <c r="U3" s="9"/>
      <c r="V3" s="9"/>
      <c r="W3" s="9"/>
      <c r="X3" s="15"/>
    </row>
    <row r="4" spans="1:28" s="34" customFormat="1" ht="11.25" customHeight="1" x14ac:dyDescent="0.2">
      <c r="A4" s="38"/>
      <c r="B4" s="429" t="str">
        <f>tarifs!B4</f>
        <v>santé</v>
      </c>
      <c r="C4" s="16"/>
      <c r="D4" s="528" t="str">
        <f>tarifs!D4</f>
        <v>régime général</v>
      </c>
      <c r="E4" s="529"/>
      <c r="F4" s="530"/>
      <c r="G4" s="531" t="str">
        <f>tarifs!$G$4</f>
        <v>régime local alsace moselle</v>
      </c>
      <c r="H4" s="529"/>
      <c r="I4" s="530"/>
      <c r="J4" s="98"/>
      <c r="K4" s="528" t="str">
        <f>tarifs!D4</f>
        <v>régime général</v>
      </c>
      <c r="L4" s="529"/>
      <c r="M4" s="530"/>
      <c r="N4" s="531" t="str">
        <f>tarifs!G4</f>
        <v>régime local alsace moselle</v>
      </c>
      <c r="O4" s="529"/>
      <c r="P4" s="530"/>
      <c r="Q4" s="98"/>
      <c r="R4" s="622" t="str">
        <f>tarifs!D4</f>
        <v>régime général</v>
      </c>
      <c r="S4" s="623"/>
      <c r="T4" s="624"/>
      <c r="U4" s="623" t="str">
        <f>tarifs!G4</f>
        <v>régime local alsace moselle</v>
      </c>
      <c r="V4" s="623"/>
      <c r="W4" s="624"/>
      <c r="X4" s="16"/>
    </row>
    <row r="5" spans="1:28" s="34" customFormat="1" ht="11.25" customHeight="1" x14ac:dyDescent="0.2">
      <c r="A5" s="11"/>
      <c r="B5" s="416" t="str">
        <f>tarifs!B5</f>
        <v>forfait régime famille de base</v>
      </c>
      <c r="C5" s="17"/>
      <c r="D5" s="532">
        <f>tarifs!$D$5</f>
        <v>118.17</v>
      </c>
      <c r="E5" s="533"/>
      <c r="F5" s="534"/>
      <c r="G5" s="533">
        <f>tarifs!$G$5</f>
        <v>82.17</v>
      </c>
      <c r="H5" s="533"/>
      <c r="I5" s="534"/>
      <c r="J5" s="101"/>
      <c r="K5" s="532">
        <f>tarifs!$K$5</f>
        <v>115.7</v>
      </c>
      <c r="L5" s="533"/>
      <c r="M5" s="534"/>
      <c r="N5" s="533">
        <f>tarifs!$N$5</f>
        <v>75.209999999999994</v>
      </c>
      <c r="O5" s="533"/>
      <c r="P5" s="534"/>
      <c r="Q5" s="101"/>
      <c r="R5" s="592">
        <f>(K5-D5)*12</f>
        <v>-29.639999999999986</v>
      </c>
      <c r="S5" s="593"/>
      <c r="T5" s="594"/>
      <c r="U5" s="593">
        <f>(N5-G5)*12</f>
        <v>-83.520000000000095</v>
      </c>
      <c r="V5" s="593"/>
      <c r="W5" s="594"/>
      <c r="X5" s="17"/>
      <c r="AA5" s="1"/>
      <c r="AB5" s="1"/>
    </row>
    <row r="6" spans="1:28" s="34" customFormat="1" ht="11.25" customHeight="1" x14ac:dyDescent="0.2">
      <c r="A6" s="39"/>
      <c r="B6" s="417" t="s">
        <v>29</v>
      </c>
      <c r="C6" s="18"/>
      <c r="D6" s="601">
        <f>IF($B$2*tarifs!$D$6&gt;D5*60%,D5*60%,$B$2*tarifs!$D$6)</f>
        <v>70.902000000000001</v>
      </c>
      <c r="E6" s="602"/>
      <c r="F6" s="603"/>
      <c r="G6" s="601">
        <f>IF($B$2*tarifs!$G$6&gt;G5*60%,G5*60%,$B$2*tarifs!$G$6)</f>
        <v>49.302</v>
      </c>
      <c r="H6" s="602"/>
      <c r="I6" s="603"/>
      <c r="J6" s="101"/>
      <c r="K6" s="616">
        <f>IF($B$2*tarifs!$K$6&gt;K5*50%,K5*50%,$B$2*tarifs!$K$6)</f>
        <v>57.85</v>
      </c>
      <c r="L6" s="617"/>
      <c r="M6" s="618"/>
      <c r="N6" s="616">
        <f>IF($B$2*tarifs!$N$6&gt;N5*50%,N5*50%,$B$2*tarifs!$N$6)</f>
        <v>37.604999999999997</v>
      </c>
      <c r="O6" s="617"/>
      <c r="P6" s="618"/>
      <c r="Q6" s="101"/>
      <c r="R6" s="604">
        <f>R5*25%</f>
        <v>-7.4099999999999966</v>
      </c>
      <c r="S6" s="605"/>
      <c r="T6" s="606"/>
      <c r="U6" s="605">
        <f>U5*25%</f>
        <v>-20.880000000000024</v>
      </c>
      <c r="V6" s="605"/>
      <c r="W6" s="606"/>
      <c r="X6" s="18"/>
    </row>
    <row r="7" spans="1:28" s="34" customFormat="1" ht="11.25" customHeight="1" x14ac:dyDescent="0.2">
      <c r="A7" s="40"/>
      <c r="B7" s="431" t="str">
        <f>tarifs!B7</f>
        <v>part patronale</v>
      </c>
      <c r="C7" s="19"/>
      <c r="D7" s="631">
        <f>D5-D6</f>
        <v>47.268000000000001</v>
      </c>
      <c r="E7" s="632"/>
      <c r="F7" s="633"/>
      <c r="G7" s="632">
        <f>G5-G6</f>
        <v>32.868000000000002</v>
      </c>
      <c r="H7" s="632"/>
      <c r="I7" s="633"/>
      <c r="J7" s="101"/>
      <c r="K7" s="631">
        <f>K5-K6</f>
        <v>57.85</v>
      </c>
      <c r="L7" s="632"/>
      <c r="M7" s="633"/>
      <c r="N7" s="632">
        <f>N5-N6</f>
        <v>37.604999999999997</v>
      </c>
      <c r="O7" s="632"/>
      <c r="P7" s="633"/>
      <c r="Q7" s="101"/>
      <c r="R7" s="613">
        <f>R5*75%</f>
        <v>-22.22999999999999</v>
      </c>
      <c r="S7" s="614"/>
      <c r="T7" s="615"/>
      <c r="U7" s="614">
        <f>U5*75%</f>
        <v>-62.640000000000072</v>
      </c>
      <c r="V7" s="614"/>
      <c r="W7" s="615"/>
      <c r="X7" s="19"/>
    </row>
    <row r="8" spans="1:28" s="34" customFormat="1" ht="5.0999999999999996" customHeight="1" x14ac:dyDescent="0.2">
      <c r="A8" s="11"/>
      <c r="B8" s="421"/>
      <c r="C8" s="11"/>
      <c r="D8" s="13"/>
      <c r="E8" s="13"/>
      <c r="F8" s="13"/>
      <c r="G8" s="13"/>
      <c r="H8" s="13"/>
      <c r="I8" s="13"/>
      <c r="J8" s="13"/>
      <c r="K8" s="12"/>
      <c r="L8" s="13"/>
      <c r="M8" s="13"/>
      <c r="N8" s="12"/>
      <c r="O8" s="13"/>
      <c r="P8" s="13"/>
      <c r="Q8" s="13"/>
      <c r="R8" s="33"/>
      <c r="S8" s="33"/>
      <c r="T8" s="33"/>
      <c r="U8" s="33"/>
      <c r="V8" s="33"/>
      <c r="W8" s="33"/>
      <c r="X8" s="11"/>
    </row>
    <row r="9" spans="1:28" s="34" customFormat="1" ht="11.25" customHeight="1" x14ac:dyDescent="0.2">
      <c r="A9" s="41"/>
      <c r="B9" s="441" t="str">
        <f>tarifs!B18</f>
        <v>prévoyance incapacité invalidité décès</v>
      </c>
      <c r="C9" s="20"/>
      <c r="D9" s="525" t="str">
        <f>tarifs!D18</f>
        <v>tranche A</v>
      </c>
      <c r="E9" s="526"/>
      <c r="F9" s="525" t="str">
        <f>tarifs!F18</f>
        <v>tranche B</v>
      </c>
      <c r="G9" s="526"/>
      <c r="H9" s="525" t="str">
        <f>tarifs!H18</f>
        <v>tranche C</v>
      </c>
      <c r="I9" s="526"/>
      <c r="J9" s="98"/>
      <c r="K9" s="525" t="str">
        <f>tarifs!D18</f>
        <v>tranche A</v>
      </c>
      <c r="L9" s="526"/>
      <c r="M9" s="525" t="str">
        <f>tarifs!F18</f>
        <v>tranche B</v>
      </c>
      <c r="N9" s="526"/>
      <c r="O9" s="527" t="str">
        <f>tarifs!H18</f>
        <v>tranche C</v>
      </c>
      <c r="P9" s="526"/>
      <c r="Q9" s="98"/>
      <c r="R9" s="611" t="str">
        <f>tarifs!D18</f>
        <v>tranche A</v>
      </c>
      <c r="S9" s="612"/>
      <c r="T9" s="611" t="str">
        <f>tarifs!F18</f>
        <v>tranche B</v>
      </c>
      <c r="U9" s="612"/>
      <c r="V9" s="611" t="str">
        <f>tarifs!H18</f>
        <v>tranche C</v>
      </c>
      <c r="W9" s="612"/>
      <c r="X9" s="20"/>
    </row>
    <row r="10" spans="1:28" s="34" customFormat="1" ht="33.75" customHeight="1" x14ac:dyDescent="0.2">
      <c r="A10" s="41"/>
      <c r="B10" s="442"/>
      <c r="C10" s="20"/>
      <c r="D10" s="379" t="str">
        <f>tarifs!D19</f>
        <v>employé</v>
      </c>
      <c r="E10" s="380" t="str">
        <f>tarifs!E19</f>
        <v>agent de maîtrise cadre</v>
      </c>
      <c r="F10" s="379" t="str">
        <f>tarifs!F19</f>
        <v>employé</v>
      </c>
      <c r="G10" s="380" t="str">
        <f>tarifs!G19</f>
        <v>agent de maîtrise cadre</v>
      </c>
      <c r="H10" s="379" t="str">
        <f>tarifs!H19</f>
        <v>employé</v>
      </c>
      <c r="I10" s="380" t="str">
        <f>tarifs!I19</f>
        <v>agent de maîtrise cadre</v>
      </c>
      <c r="J10" s="12"/>
      <c r="K10" s="379" t="str">
        <f>tarifs!D19</f>
        <v>employé</v>
      </c>
      <c r="L10" s="380" t="str">
        <f>tarifs!E19</f>
        <v>agent de maîtrise cadre</v>
      </c>
      <c r="M10" s="379" t="str">
        <f>tarifs!F19</f>
        <v>employé</v>
      </c>
      <c r="N10" s="380" t="str">
        <f>tarifs!G19</f>
        <v>agent de maîtrise cadre</v>
      </c>
      <c r="O10" s="379" t="str">
        <f>tarifs!H19</f>
        <v>employé</v>
      </c>
      <c r="P10" s="380" t="str">
        <f>tarifs!I19</f>
        <v>agent de maîtrise cadre</v>
      </c>
      <c r="Q10" s="12"/>
      <c r="R10" s="383" t="str">
        <f>tarifs!D19</f>
        <v>employé</v>
      </c>
      <c r="S10" s="384" t="str">
        <f>tarifs!E19</f>
        <v>agent de maîtrise cadre</v>
      </c>
      <c r="T10" s="383" t="str">
        <f>tarifs!F19</f>
        <v>employé</v>
      </c>
      <c r="U10" s="384" t="str">
        <f>tarifs!G19</f>
        <v>agent de maîtrise cadre</v>
      </c>
      <c r="V10" s="383" t="str">
        <f>tarifs!H19</f>
        <v>employé</v>
      </c>
      <c r="W10" s="384" t="str">
        <f>tarifs!I19</f>
        <v>agent de maîtrise cadre</v>
      </c>
      <c r="X10" s="20"/>
    </row>
    <row r="11" spans="1:28" s="34" customFormat="1" ht="11.25" customHeight="1" x14ac:dyDescent="0.2">
      <c r="A11" s="42"/>
      <c r="B11" s="422" t="str">
        <f>tarifs!B20</f>
        <v>agent de droit privé</v>
      </c>
      <c r="C11" s="21"/>
      <c r="D11" s="607">
        <f>IF($B$2&gt;'BS 2015'!$F$39/12,'BS 2015'!$F$39/12*tarifs!$D$20,$B$2*tarifs!$D$20)</f>
        <v>64.456540000000004</v>
      </c>
      <c r="E11" s="608"/>
      <c r="F11" s="544">
        <f>IF($B$2&gt;'BS 2015'!$F$39/12,($B$2-'BS 2015'!$F$39/12)*tarifs!$F$20,0)</f>
        <v>336.14046000000002</v>
      </c>
      <c r="G11" s="545"/>
      <c r="H11" s="533"/>
      <c r="I11" s="534"/>
      <c r="J11" s="101"/>
      <c r="K11" s="607">
        <f>IF($B$2&gt;'BS 2015'!$F$39/12,'BS 2015'!$F$39/12*tarifs!$K$20,$B$2*tarifs!$K$20)</f>
        <v>62.429200000000002</v>
      </c>
      <c r="L11" s="608"/>
      <c r="M11" s="544">
        <f>IF($B$2&gt;'BS 2015'!$F$39/12,($B$2-'BS 2015'!$F$39/12)*tarifs!$M$20,0)</f>
        <v>361.70740000000001</v>
      </c>
      <c r="N11" s="545"/>
      <c r="O11" s="533"/>
      <c r="P11" s="534"/>
      <c r="Q11" s="101"/>
      <c r="R11" s="609">
        <f>(K11-D11)*12</f>
        <v>-24.328080000000028</v>
      </c>
      <c r="S11" s="610"/>
      <c r="T11" s="592">
        <f>(M11-F11)*12</f>
        <v>306.80327999999986</v>
      </c>
      <c r="U11" s="593"/>
      <c r="V11" s="593"/>
      <c r="W11" s="594"/>
      <c r="X11" s="21"/>
    </row>
    <row r="12" spans="1:28" s="34" customFormat="1" ht="11.25" customHeight="1" x14ac:dyDescent="0.2">
      <c r="A12" s="39"/>
      <c r="B12" s="462" t="str">
        <f>tarifs!B21</f>
        <v>part salariale</v>
      </c>
      <c r="C12" s="18"/>
      <c r="D12" s="601">
        <f>IF($B$2&gt;'BS 2015'!$F$39/12,'BS 2015'!$F$39/12*tarifs!$D$21,$B$2*tarifs!$D$21)</f>
        <v>16.765779999999999</v>
      </c>
      <c r="E12" s="603"/>
      <c r="F12" s="115">
        <f>IF($B$2&gt;'BS 2015'!$F$40/12,('BS 2015'!$F$40/12-'BS 2015'!$F$39/12)*tarifs!$F$21,IF($B$2&gt;'BS 2015'!$F$39/12,($B$2-'BS 2015'!$F$39/12)*tarifs!$F$21,0))</f>
        <v>115.65491999999999</v>
      </c>
      <c r="G12" s="116">
        <f>IF($B$2&gt;'BS 2015'!$F$40/12,('BS 2015'!$F$40/12-'BS 2015'!$F$39/12)*tarifs!$G$21,IF($B$2&gt;'BS 2015'!$F$39/12,($B$2-'BS 2015'!$F$39/12)*tarifs!$G$21,0))</f>
        <v>123.95736000000001</v>
      </c>
      <c r="H12" s="601">
        <f>IF($B$2&gt;'BS 2015'!$F$40/12,($B$2-'BS 2015'!$F$40/12)*tarifs!$H$21,0)</f>
        <v>30.36656</v>
      </c>
      <c r="I12" s="603"/>
      <c r="J12" s="101"/>
      <c r="K12" s="601">
        <f>IF($B$2&gt;'BS 2015'!$F$39/12,'BS 2015'!$F$39/12*tarifs!$K$21,$B$2*tarifs!$K$21)</f>
        <v>16.218720000000001</v>
      </c>
      <c r="L12" s="603"/>
      <c r="M12" s="115">
        <f>IF($B$2&gt;'BS 2015'!$F$40/12,('BS 2015'!$F$40/12-'BS 2015'!$F$39/12)*tarifs!$M$21,IF($B$2&gt;'BS 2015'!$F$39/12,($B$2-'BS 2015'!$F$39/12)*tarifs!$M$21,0))</f>
        <v>124.44006</v>
      </c>
      <c r="N12" s="116">
        <f>IF($B$2&gt;'BS 2015'!$F$40/12,('BS 2015'!$F$40/12-'BS 2015'!$F$39/12)*tarifs!$N$21,IF($B$2&gt;'BS 2015'!$F$39/12,($B$2-'BS 2015'!$F$39/12)*tarifs!$N$21,0))</f>
        <v>133.41828000000001</v>
      </c>
      <c r="O12" s="601">
        <f>IF($B$2&gt;'BS 2015'!$F$40/12,($B$2-'BS 2015'!$F$40/12)*tarifs!$O$21,0)</f>
        <v>32.6648</v>
      </c>
      <c r="P12" s="603"/>
      <c r="Q12" s="101"/>
      <c r="R12" s="604">
        <f>(K12-D12)*12</f>
        <v>-6.5647199999999799</v>
      </c>
      <c r="S12" s="606"/>
      <c r="T12" s="117">
        <f>(M12-F12)*12</f>
        <v>105.42168000000015</v>
      </c>
      <c r="U12" s="118">
        <f>(N12-G12)*12</f>
        <v>113.53104000000002</v>
      </c>
      <c r="V12" s="604">
        <f>(O12-H12)*12</f>
        <v>27.578879999999998</v>
      </c>
      <c r="W12" s="606"/>
      <c r="X12" s="18"/>
    </row>
    <row r="13" spans="1:28" s="34" customFormat="1" ht="11.25" customHeight="1" x14ac:dyDescent="0.2">
      <c r="A13" s="39"/>
      <c r="B13" s="463"/>
      <c r="C13" s="18"/>
      <c r="D13" s="446">
        <f>IF(D11=0,0,D12/D11)</f>
        <v>0.26010983524712927</v>
      </c>
      <c r="E13" s="448"/>
      <c r="F13" s="168">
        <f>IF(F11=0,0,F12/F11)</f>
        <v>0.34406723903453929</v>
      </c>
      <c r="G13" s="169">
        <f>IF(F11=0,0,G12/F11)</f>
        <v>0.3687665566947817</v>
      </c>
      <c r="H13" s="446">
        <f>IF(F11=0,0,H12/F11)</f>
        <v>9.0338901779333555E-2</v>
      </c>
      <c r="I13" s="448"/>
      <c r="J13" s="24"/>
      <c r="K13" s="446">
        <f>IF(K11=0,0,K12/K11)</f>
        <v>0.25979381443298971</v>
      </c>
      <c r="L13" s="448"/>
      <c r="M13" s="168">
        <f>IF(M11=0,0,M12/M11)</f>
        <v>0.34403515106409216</v>
      </c>
      <c r="N13" s="169">
        <f>IF(M11=0,0,N12/M11)</f>
        <v>0.36885692689726562</v>
      </c>
      <c r="O13" s="446">
        <f>IF(M11=0,0,O12/M11)</f>
        <v>9.030724834493295E-2</v>
      </c>
      <c r="P13" s="448"/>
      <c r="Q13" s="24"/>
      <c r="R13" s="446">
        <f>IF(R11=0,0,R12/R11)</f>
        <v>0.26984126984126872</v>
      </c>
      <c r="S13" s="448"/>
      <c r="T13" s="168">
        <f>IF(T11=0,0,T12/T11)</f>
        <v>0.34361327558166976</v>
      </c>
      <c r="U13" s="169">
        <f>IF(T11=0,0,U12/T11)</f>
        <v>0.37004506601102855</v>
      </c>
      <c r="V13" s="446">
        <f>IF(T11=0,0,V12/T11)</f>
        <v>8.9891085910163704E-2</v>
      </c>
      <c r="W13" s="448"/>
      <c r="X13" s="18"/>
    </row>
    <row r="14" spans="1:28" s="34" customFormat="1" ht="11.25" customHeight="1" x14ac:dyDescent="0.2">
      <c r="A14" s="39"/>
      <c r="B14" s="464" t="str">
        <f>tarifs!B23</f>
        <v>part patronale</v>
      </c>
      <c r="C14" s="18"/>
      <c r="D14" s="595">
        <f>IF($B$2&gt;'BS 2015'!$F$39/12,'BS 2015'!$F$39/12*tarifs!$D$23,$B$2*tarifs!$D$23)</f>
        <v>47.690759999999997</v>
      </c>
      <c r="E14" s="597"/>
      <c r="F14" s="107">
        <f>IF($B$2&gt;'BS 2015'!$F$40/12,('BS 2015'!$F$40/12-'BS 2015'!$F$39/12)*tarifs!$F$23,IF($B$2&gt;'BS 2015'!$F$39/12,($B$2-'BS 2015'!$F$39/12)*tarifs!$F$23,0))</f>
        <v>159.77369999999999</v>
      </c>
      <c r="G14" s="108">
        <f>IF($B$2&gt;'BS 2015'!$F$40/12,('BS 2015'!$F$40/12-'BS 2015'!$F$39/12)*tarifs!$G$23,IF($B$2&gt;'BS 2015'!$F$39/12,($B$2-'BS 2015'!$F$39/12)*tarifs!$G$23,0))</f>
        <v>151.47126</v>
      </c>
      <c r="H14" s="595">
        <f>IF($B$2&gt;'BS 2015'!$F$40/12,($B$2-'BS 2015'!$F$40/12)*tarifs!$H$23,0)</f>
        <v>30.36656</v>
      </c>
      <c r="I14" s="597"/>
      <c r="J14" s="101"/>
      <c r="K14" s="595">
        <f>IF($B$2&gt;'BS 2015'!$F$39/12,'BS 2015'!$F$39/12*tarifs!$K$23,$B$2*tarifs!$K$23)</f>
        <v>46.210479999999997</v>
      </c>
      <c r="L14" s="597"/>
      <c r="M14" s="107">
        <f>IF($B$2&gt;'BS 2015'!$F$40/12,('BS 2015'!$F$40/12-'BS 2015'!$F$39/12)*tarifs!$M$23,IF($B$2&gt;'BS 2015'!$F$39/12,($B$2-'BS 2015'!$F$39/12)*tarifs!$M$23,0))</f>
        <v>171.93773999999999</v>
      </c>
      <c r="N14" s="108">
        <f>IF($B$2&gt;'BS 2015'!$F$40/12,('BS 2015'!$F$40/12-'BS 2015'!$F$39/12)*tarifs!$N$23,IF($B$2&gt;'BS 2015'!$F$39/12,($B$2-'BS 2015'!$F$39/12)*tarifs!$N$23,0))</f>
        <v>163.05606</v>
      </c>
      <c r="O14" s="595">
        <f>IF($B$2&gt;'BS 2015'!$F$40/12,($B$2-'BS 2015'!$F$40/12)*tarifs!$O$23,0)</f>
        <v>32.6648</v>
      </c>
      <c r="P14" s="597"/>
      <c r="Q14" s="101"/>
      <c r="R14" s="598">
        <f>(K14-D14)*12</f>
        <v>-17.763360000000006</v>
      </c>
      <c r="S14" s="600"/>
      <c r="T14" s="109">
        <f>(M14-F14)*12</f>
        <v>145.96848</v>
      </c>
      <c r="U14" s="110">
        <f>(N14-G14)*12</f>
        <v>139.01760000000002</v>
      </c>
      <c r="V14" s="598">
        <f>(O14-H14)*12</f>
        <v>27.578879999999998</v>
      </c>
      <c r="W14" s="600"/>
      <c r="X14" s="18"/>
    </row>
    <row r="15" spans="1:28" s="34" customFormat="1" ht="11.25" customHeight="1" x14ac:dyDescent="0.2">
      <c r="A15" s="39"/>
      <c r="B15" s="465"/>
      <c r="C15" s="18"/>
      <c r="D15" s="452">
        <f>IF(D11=0,0,D14/D11)</f>
        <v>0.73989016475287062</v>
      </c>
      <c r="E15" s="454"/>
      <c r="F15" s="432">
        <f>IF(F11=0,0,F14/F11)</f>
        <v>0.47531826427559476</v>
      </c>
      <c r="G15" s="433">
        <f>IF(F11=0,0,G14/F11)</f>
        <v>0.4506189466153524</v>
      </c>
      <c r="H15" s="634">
        <f>IF(F11=0,0,H14/F11)</f>
        <v>9.0338901779333555E-2</v>
      </c>
      <c r="I15" s="635"/>
      <c r="J15" s="24"/>
      <c r="K15" s="452">
        <f>IF(K11=0,0,K14/K11)</f>
        <v>0.74020618556701023</v>
      </c>
      <c r="L15" s="454"/>
      <c r="M15" s="432">
        <f>IF(M11=0,0,M14/M11)</f>
        <v>0.47535035224604194</v>
      </c>
      <c r="N15" s="433">
        <f>IF(M11=0,0,N14/M11)</f>
        <v>0.45079547722827901</v>
      </c>
      <c r="O15" s="634">
        <f>IF(M11=0,0,O14/M11)</f>
        <v>9.030724834493295E-2</v>
      </c>
      <c r="P15" s="635"/>
      <c r="Q15" s="24"/>
      <c r="R15" s="452">
        <f>IF(R11=0,0,R14/R11)</f>
        <v>0.73015873015872956</v>
      </c>
      <c r="S15" s="454"/>
      <c r="T15" s="170">
        <f>IF(T11=0,0,T14/T11)</f>
        <v>0.47577222772846517</v>
      </c>
      <c r="U15" s="171">
        <f>IF(T11=0,0,U14/T11)</f>
        <v>0.45311640736044306</v>
      </c>
      <c r="V15" s="452">
        <f>IF(T11=0,0,V14/T11)</f>
        <v>8.9891085910163704E-2</v>
      </c>
      <c r="W15" s="454"/>
      <c r="X15" s="18"/>
    </row>
    <row r="16" spans="1:28" s="34" customFormat="1" ht="11.25" customHeight="1" x14ac:dyDescent="0.2">
      <c r="A16" s="39"/>
      <c r="B16" s="422" t="str">
        <f>tarifs!B25</f>
        <v>agent de droit public</v>
      </c>
      <c r="C16" s="18"/>
      <c r="D16" s="607">
        <f>IF($B$2&gt;'BS 2015'!$F$39/12,'BS 2015'!$F$39/12*tarifs!$D$25,$B$2*tarifs!$D$25)</f>
        <v>67.867620000000002</v>
      </c>
      <c r="E16" s="608"/>
      <c r="F16" s="544">
        <f>IF($B$2&gt;'BS 2015'!$F$39/12,($B$2-'BS 2015'!$F$39/12)*tarifs!$F$25,0)</f>
        <v>260.61784</v>
      </c>
      <c r="G16" s="545"/>
      <c r="H16" s="533"/>
      <c r="I16" s="534"/>
      <c r="J16" s="101"/>
      <c r="K16" s="607">
        <f>IF($B$2&gt;'BS 2015'!$F$39/12,'BS 2015'!$F$39/12*tarifs!$K$25,$B$2*tarifs!$K$25)</f>
        <v>67.578000000000003</v>
      </c>
      <c r="L16" s="608"/>
      <c r="M16" s="544">
        <f>IF($B$2&gt;'BS 2015'!$F$39/12,($B$2-'BS 2015'!$F$39/12)*tarifs!$M$25,0)</f>
        <v>262.73860000000002</v>
      </c>
      <c r="N16" s="545"/>
      <c r="O16" s="545"/>
      <c r="P16" s="546"/>
      <c r="Q16" s="101"/>
      <c r="R16" s="609">
        <f>(K16-D16)*12</f>
        <v>-3.4754399999999919</v>
      </c>
      <c r="S16" s="610"/>
      <c r="T16" s="592">
        <f>(M16-F16)*12</f>
        <v>25.449120000000221</v>
      </c>
      <c r="U16" s="593"/>
      <c r="V16" s="593"/>
      <c r="W16" s="594"/>
      <c r="X16" s="18"/>
    </row>
    <row r="17" spans="1:24" s="34" customFormat="1" ht="11.25" customHeight="1" x14ac:dyDescent="0.2">
      <c r="A17" s="39"/>
      <c r="B17" s="462" t="str">
        <f>tarifs!B26</f>
        <v>part salariale</v>
      </c>
      <c r="C17" s="18"/>
      <c r="D17" s="601">
        <f>IF($B$2&gt;'BS 2015'!$F$39/12,'BS 2015'!$F$39/12*tarifs!$D$26,$B$2*tarifs!$D$26)</f>
        <v>17.634639999999997</v>
      </c>
      <c r="E17" s="603"/>
      <c r="F17" s="115">
        <f>IF($B$2&gt;'BS 2015'!$F$40/12,('BS 2015'!$F$40/12-'BS 2015'!$F$39/12)*tarifs!$F$26,IF($B$2&gt;'BS 2015'!$F$39/12,($B$2-'BS 2015'!$F$39/12)*tarifs!$F$26,0))</f>
        <v>89.685659999999999</v>
      </c>
      <c r="G17" s="116">
        <f>IF($B$2&gt;'BS 2015'!$F$40/12,('BS 2015'!$F$40/12-'BS 2015'!$F$39/12)*tarifs!$G$26,IF($B$2&gt;'BS 2015'!$F$39/12,($B$2-'BS 2015'!$F$39/12)*tarifs!$G$26,0))</f>
        <v>96.057299999999998</v>
      </c>
      <c r="H17" s="601">
        <f>IF($B$2&gt;'BS 2015'!$F$40/12,($B$2-'BS 2015'!$F$40/12)*tarifs!$H$26,0)</f>
        <v>23.535679999999999</v>
      </c>
      <c r="I17" s="603"/>
      <c r="J17" s="101"/>
      <c r="K17" s="601">
        <f>IF($B$2&gt;'BS 2015'!$F$39/12,'BS 2015'!$F$39/12*tarifs!$K$26,$B$2*tarifs!$K$26)</f>
        <v>17.57028</v>
      </c>
      <c r="L17" s="603"/>
      <c r="M17" s="115">
        <f>IF($B$2&gt;'BS 2015'!$F$40/12,('BS 2015'!$F$40/12-'BS 2015'!$F$39/12)*tarifs!$M$26,IF($B$2&gt;'BS 2015'!$F$39/12,($B$2-'BS 2015'!$F$39/12)*tarifs!$M$26,0))</f>
        <v>90.457979999999992</v>
      </c>
      <c r="N17" s="116">
        <f>IF($B$2&gt;'BS 2015'!$F$40/12,('BS 2015'!$F$40/12-'BS 2015'!$F$39/12)*tarifs!$N$26,IF($B$2&gt;'BS 2015'!$F$39/12,($B$2-'BS 2015'!$F$39/12)*tarifs!$N$26,0))</f>
        <v>96.92616000000001</v>
      </c>
      <c r="O17" s="601">
        <f>IF($B$2&gt;'BS 2015'!$F$40/12,($B$2-'BS 2015'!$F$40/12)*tarifs!$O$26,0)</f>
        <v>23.7272</v>
      </c>
      <c r="P17" s="603"/>
      <c r="Q17" s="101"/>
      <c r="R17" s="604">
        <f>(K17-D17)*12</f>
        <v>-0.77231999999996503</v>
      </c>
      <c r="S17" s="606"/>
      <c r="T17" s="117">
        <f>(M17-F17)*12</f>
        <v>9.2678399999999215</v>
      </c>
      <c r="U17" s="118">
        <f>(N17-G17)*12</f>
        <v>10.426320000000146</v>
      </c>
      <c r="V17" s="604">
        <f>(O17-H17)*12</f>
        <v>2.2982400000000069</v>
      </c>
      <c r="W17" s="606"/>
      <c r="X17" s="18"/>
    </row>
    <row r="18" spans="1:24" s="34" customFormat="1" ht="11.25" customHeight="1" x14ac:dyDescent="0.2">
      <c r="A18" s="39"/>
      <c r="B18" s="463"/>
      <c r="C18" s="18"/>
      <c r="D18" s="446">
        <f>IF(D16=0,0,D17/D16)</f>
        <v>0.25983878615457556</v>
      </c>
      <c r="E18" s="448"/>
      <c r="F18" s="168">
        <f>IF(F16=0,0,F17/F16)</f>
        <v>0.34412709429254729</v>
      </c>
      <c r="G18" s="169">
        <f>IF(F16=0,0,G17/F16)</f>
        <v>0.36857530551246992</v>
      </c>
      <c r="H18" s="446">
        <f>IF(F16=0,0,H17/F16)</f>
        <v>9.030724834493295E-2</v>
      </c>
      <c r="I18" s="448"/>
      <c r="J18" s="24"/>
      <c r="K18" s="446">
        <f>IF(K16=0,0,K17/K16)</f>
        <v>0.26</v>
      </c>
      <c r="L18" s="448"/>
      <c r="M18" s="168">
        <f>IF(M16=0,0,M17/M16)</f>
        <v>0.34428888636842847</v>
      </c>
      <c r="N18" s="169">
        <f>IF(M16=0,0,N17/M16)</f>
        <v>0.36890719521227561</v>
      </c>
      <c r="O18" s="446">
        <f>IF(M16=0,0,O17/M16)</f>
        <v>9.0307248344932936E-2</v>
      </c>
      <c r="P18" s="448"/>
      <c r="Q18" s="24"/>
      <c r="R18" s="446">
        <f>IF(R16=0,0,R17/R16)</f>
        <v>0.22222222222221269</v>
      </c>
      <c r="S18" s="448"/>
      <c r="T18" s="168">
        <f>IF(T16=0,0,T17/T16)</f>
        <v>0.36417133480449781</v>
      </c>
      <c r="U18" s="169">
        <f>IF(T16=0,0,U17/T16)</f>
        <v>0.40969275165506924</v>
      </c>
      <c r="V18" s="446">
        <f>IF(T16=0,0,V17/T16)</f>
        <v>9.0307248344932436E-2</v>
      </c>
      <c r="W18" s="448"/>
      <c r="X18" s="18"/>
    </row>
    <row r="19" spans="1:24" s="34" customFormat="1" ht="11.25" customHeight="1" x14ac:dyDescent="0.2">
      <c r="A19" s="39"/>
      <c r="B19" s="464" t="str">
        <f>tarifs!B28</f>
        <v>part patronale</v>
      </c>
      <c r="C19" s="18"/>
      <c r="D19" s="595">
        <f>IF($B$2&gt;'BS 2015'!$F$39/12,'BS 2015'!$F$39/12*tarifs!$D$28,$B$2*tarifs!$D$28)</f>
        <v>50.232980000000005</v>
      </c>
      <c r="E19" s="597"/>
      <c r="F19" s="107">
        <f>IF($B$2&gt;'BS 2015'!$F$40/12,('BS 2015'!$F$40/12-'BS 2015'!$F$39/12)*tarifs!$F$28,IF($B$2&gt;'BS 2015'!$F$39/12,($B$2-'BS 2015'!$F$39/12)*tarifs!$F$28,0))</f>
        <v>123.86081999999999</v>
      </c>
      <c r="G19" s="108">
        <f>IF($B$2&gt;'BS 2015'!$F$40/12,('BS 2015'!$F$40/12-'BS 2015'!$F$39/12)*tarifs!$G$28,IF($B$2&gt;'BS 2015'!$F$39/12,($B$2-'BS 2015'!$F$39/12)*tarifs!$G$28,0))</f>
        <v>117.48918</v>
      </c>
      <c r="H19" s="595">
        <f>IF($B$2&gt;'BS 2015'!$F$40/12,($B$2-'BS 2015'!$F$40/12)*tarifs!$H$28,0)</f>
        <v>23.535679999999999</v>
      </c>
      <c r="I19" s="597"/>
      <c r="J19" s="101"/>
      <c r="K19" s="595">
        <f>IF($B$2&gt;'BS 2015'!$F$39/12,'BS 2015'!$F$39/12*tarifs!$K$28,$B$2*tarifs!$K$28)</f>
        <v>50.007719999999999</v>
      </c>
      <c r="L19" s="597"/>
      <c r="M19" s="107">
        <f>IF($B$2&gt;'BS 2015'!$F$40/12,('BS 2015'!$F$40/12-'BS 2015'!$F$39/12)*tarifs!$M$28,IF($B$2&gt;'BS 2015'!$F$39/12,($B$2-'BS 2015'!$F$39/12)*tarifs!$M$28,0))</f>
        <v>124.82622000000001</v>
      </c>
      <c r="N19" s="108">
        <f>IF($B$2&gt;'BS 2015'!$F$40/12,('BS 2015'!$F$40/12-'BS 2015'!$F$39/12)*tarifs!$N$28,IF($B$2&gt;'BS 2015'!$F$39/12,($B$2-'BS 2015'!$F$39/12)*tarifs!$N$28,0))</f>
        <v>118.45457999999999</v>
      </c>
      <c r="O19" s="595">
        <f>IF($B$2&gt;'BS 2015'!$F$40/12,($B$2-'BS 2015'!$F$40/12)*tarifs!$O$28,0)</f>
        <v>23.7272</v>
      </c>
      <c r="P19" s="597"/>
      <c r="Q19" s="101"/>
      <c r="R19" s="598">
        <f>(K19-D19)*12</f>
        <v>-2.7031200000000695</v>
      </c>
      <c r="S19" s="600"/>
      <c r="T19" s="109">
        <f>(M19-F19)*12</f>
        <v>11.5848000000002</v>
      </c>
      <c r="U19" s="110">
        <f>(N19-G19)*12</f>
        <v>11.584799999999859</v>
      </c>
      <c r="V19" s="598">
        <f>(O19-H19)*12</f>
        <v>2.2982400000000069</v>
      </c>
      <c r="W19" s="600"/>
      <c r="X19" s="18"/>
    </row>
    <row r="20" spans="1:24" s="34" customFormat="1" ht="11.25" customHeight="1" x14ac:dyDescent="0.2">
      <c r="A20" s="39"/>
      <c r="B20" s="465"/>
      <c r="C20" s="18"/>
      <c r="D20" s="452">
        <f>IF(D16=0,0,D19/D16)</f>
        <v>0.74016121384542444</v>
      </c>
      <c r="E20" s="454"/>
      <c r="F20" s="432">
        <f>IF(F16=0,0,F19/F16)</f>
        <v>0.47525840901758676</v>
      </c>
      <c r="G20" s="433">
        <f>IF(F16=0,0,G19/F16)</f>
        <v>0.45081019779766424</v>
      </c>
      <c r="H20" s="634">
        <f>IF(F16=0,0,H19/F16)</f>
        <v>9.030724834493295E-2</v>
      </c>
      <c r="I20" s="635"/>
      <c r="J20" s="24"/>
      <c r="K20" s="452">
        <f>IF(K16=0,0,K19/K16)</f>
        <v>0.74</v>
      </c>
      <c r="L20" s="454"/>
      <c r="M20" s="432">
        <f>IF(M16=0,0,M19/M16)</f>
        <v>0.47509661694170557</v>
      </c>
      <c r="N20" s="433">
        <f>IF(M16=0,0,N19/M16)</f>
        <v>0.45084574554328899</v>
      </c>
      <c r="O20" s="634">
        <f>IF(M16=0,0,O19/M16)</f>
        <v>9.0307248344932936E-2</v>
      </c>
      <c r="P20" s="635"/>
      <c r="Q20" s="24"/>
      <c r="R20" s="452">
        <f>IF(R16=0,0,R19/R16)</f>
        <v>0.77777777777779955</v>
      </c>
      <c r="S20" s="454"/>
      <c r="T20" s="170">
        <f>IF(T16=0,0,T19/T16)</f>
        <v>0.45521416850563395</v>
      </c>
      <c r="U20" s="171">
        <f>IF(T16=0,0,U19/T16)</f>
        <v>0.45521416850562058</v>
      </c>
      <c r="V20" s="452">
        <f>IF(T16=0,0,V19/T16)</f>
        <v>9.0307248344932436E-2</v>
      </c>
      <c r="W20" s="454"/>
      <c r="X20" s="18"/>
    </row>
    <row r="21" spans="1:24" s="34" customFormat="1" ht="11.25" customHeight="1" x14ac:dyDescent="0.2">
      <c r="A21" s="39"/>
      <c r="B21" s="430" t="str">
        <f>tarifs!B30</f>
        <v>maintien du revenu agent public</v>
      </c>
      <c r="C21" s="18"/>
      <c r="D21" s="544">
        <f>$B$2*tarifs!$D$30</f>
        <v>72.75</v>
      </c>
      <c r="E21" s="545"/>
      <c r="F21" s="545"/>
      <c r="G21" s="545"/>
      <c r="H21" s="545"/>
      <c r="I21" s="546"/>
      <c r="J21" s="101"/>
      <c r="K21" s="544">
        <f>$B$2*tarifs!$K$30</f>
        <v>94.649999999999991</v>
      </c>
      <c r="L21" s="545"/>
      <c r="M21" s="545"/>
      <c r="N21" s="545"/>
      <c r="O21" s="545"/>
      <c r="P21" s="546"/>
      <c r="Q21" s="101"/>
      <c r="R21" s="592">
        <f>(K21-D21)*12</f>
        <v>262.7999999999999</v>
      </c>
      <c r="S21" s="593"/>
      <c r="T21" s="593"/>
      <c r="U21" s="593"/>
      <c r="V21" s="593"/>
      <c r="W21" s="594"/>
      <c r="X21" s="18"/>
    </row>
    <row r="22" spans="1:24" s="34" customFormat="1" ht="11.25" customHeight="1" x14ac:dyDescent="0.2">
      <c r="A22" s="39"/>
      <c r="B22" s="462" t="str">
        <f>tarifs!B31</f>
        <v>part salariale</v>
      </c>
      <c r="C22" s="18"/>
      <c r="D22" s="601">
        <f>$B$2*tarifs!$D$31</f>
        <v>29.1</v>
      </c>
      <c r="E22" s="602"/>
      <c r="F22" s="602"/>
      <c r="G22" s="602"/>
      <c r="H22" s="602"/>
      <c r="I22" s="603"/>
      <c r="J22" s="101"/>
      <c r="K22" s="601">
        <f>$B$2*tarifs!$K$31</f>
        <v>37.800000000000004</v>
      </c>
      <c r="L22" s="602"/>
      <c r="M22" s="602"/>
      <c r="N22" s="602"/>
      <c r="O22" s="602"/>
      <c r="P22" s="603"/>
      <c r="Q22" s="101"/>
      <c r="R22" s="604">
        <f>(K22-D22)*12</f>
        <v>104.40000000000003</v>
      </c>
      <c r="S22" s="605"/>
      <c r="T22" s="605"/>
      <c r="U22" s="605"/>
      <c r="V22" s="605"/>
      <c r="W22" s="606"/>
      <c r="X22" s="18"/>
    </row>
    <row r="23" spans="1:24" s="34" customFormat="1" ht="11.25" customHeight="1" x14ac:dyDescent="0.2">
      <c r="A23" s="39"/>
      <c r="B23" s="463"/>
      <c r="C23" s="18"/>
      <c r="D23" s="446">
        <f>IF(D21=0,0,D22/D21)</f>
        <v>0.4</v>
      </c>
      <c r="E23" s="447"/>
      <c r="F23" s="447"/>
      <c r="G23" s="447"/>
      <c r="H23" s="447"/>
      <c r="I23" s="448"/>
      <c r="J23" s="24"/>
      <c r="K23" s="446">
        <f>IF(K21=0,0,K22/K21)</f>
        <v>0.39936608557844699</v>
      </c>
      <c r="L23" s="447"/>
      <c r="M23" s="447"/>
      <c r="N23" s="447"/>
      <c r="O23" s="447"/>
      <c r="P23" s="448"/>
      <c r="Q23" s="24"/>
      <c r="R23" s="446">
        <f>IF(R21=0,0,R22/R21)</f>
        <v>0.39726027397260305</v>
      </c>
      <c r="S23" s="447"/>
      <c r="T23" s="447"/>
      <c r="U23" s="447"/>
      <c r="V23" s="447"/>
      <c r="W23" s="448"/>
      <c r="X23" s="18"/>
    </row>
    <row r="24" spans="1:24" s="34" customFormat="1" ht="11.25" customHeight="1" x14ac:dyDescent="0.2">
      <c r="A24" s="39"/>
      <c r="B24" s="464" t="str">
        <f>tarifs!B33</f>
        <v>part patronale</v>
      </c>
      <c r="C24" s="18"/>
      <c r="D24" s="595">
        <f>$B$2*tarifs!$D$33</f>
        <v>43.65</v>
      </c>
      <c r="E24" s="596"/>
      <c r="F24" s="596"/>
      <c r="G24" s="596"/>
      <c r="H24" s="596"/>
      <c r="I24" s="597"/>
      <c r="J24" s="101"/>
      <c r="K24" s="595">
        <f>$B$2*tarifs!$K$33</f>
        <v>56.85</v>
      </c>
      <c r="L24" s="596"/>
      <c r="M24" s="596"/>
      <c r="N24" s="596"/>
      <c r="O24" s="596"/>
      <c r="P24" s="597"/>
      <c r="Q24" s="101"/>
      <c r="R24" s="598">
        <f>(K24-D24)*12</f>
        <v>158.40000000000003</v>
      </c>
      <c r="S24" s="599"/>
      <c r="T24" s="599"/>
      <c r="U24" s="599"/>
      <c r="V24" s="599"/>
      <c r="W24" s="600"/>
      <c r="X24" s="18"/>
    </row>
    <row r="25" spans="1:24" s="34" customFormat="1" ht="11.25" customHeight="1" x14ac:dyDescent="0.2">
      <c r="A25" s="39"/>
      <c r="B25" s="465"/>
      <c r="C25" s="18"/>
      <c r="D25" s="452">
        <f>IF(D21=0,0,D24/D21)</f>
        <v>0.6</v>
      </c>
      <c r="E25" s="453"/>
      <c r="F25" s="453"/>
      <c r="G25" s="453"/>
      <c r="H25" s="453"/>
      <c r="I25" s="454"/>
      <c r="J25" s="24"/>
      <c r="K25" s="452">
        <f>IF(K21=0,0,K24/K21)</f>
        <v>0.60063391442155312</v>
      </c>
      <c r="L25" s="453"/>
      <c r="M25" s="453"/>
      <c r="N25" s="453"/>
      <c r="O25" s="453"/>
      <c r="P25" s="454"/>
      <c r="Q25" s="24"/>
      <c r="R25" s="452">
        <f>IF(R21=0,0,R24/R21)</f>
        <v>0.60273972602739767</v>
      </c>
      <c r="S25" s="453"/>
      <c r="T25" s="453"/>
      <c r="U25" s="453"/>
      <c r="V25" s="453"/>
      <c r="W25" s="454"/>
      <c r="X25" s="18"/>
    </row>
    <row r="26" spans="1:24" s="34" customFormat="1" ht="5.0999999999999996" customHeight="1" x14ac:dyDescent="0.2">
      <c r="A26" s="11"/>
      <c r="B26" s="421"/>
      <c r="C26" s="11"/>
      <c r="D26" s="13"/>
      <c r="E26" s="13"/>
      <c r="F26" s="13"/>
      <c r="G26" s="13"/>
      <c r="H26" s="13"/>
      <c r="I26" s="13"/>
      <c r="J26" s="13"/>
      <c r="K26" s="12"/>
      <c r="L26" s="13"/>
      <c r="M26" s="13"/>
      <c r="N26" s="12"/>
      <c r="O26" s="13"/>
      <c r="P26" s="13"/>
      <c r="Q26" s="13"/>
      <c r="R26" s="33"/>
      <c r="S26" s="33"/>
      <c r="T26" s="33"/>
      <c r="U26" s="33"/>
      <c r="V26" s="33"/>
      <c r="W26" s="33"/>
      <c r="X26" s="11"/>
    </row>
    <row r="27" spans="1:24" s="34" customFormat="1" ht="11.25" customHeight="1" x14ac:dyDescent="0.2">
      <c r="A27" s="29"/>
      <c r="B27" s="427" t="str">
        <f>tarifs!$B$42</f>
        <v>légende couleurs</v>
      </c>
      <c r="C27" s="29"/>
      <c r="D27" s="636" t="s">
        <v>49</v>
      </c>
      <c r="E27" s="637"/>
      <c r="F27" s="637"/>
      <c r="G27" s="637"/>
      <c r="H27" s="637"/>
      <c r="I27" s="638"/>
      <c r="J27" s="30"/>
      <c r="K27" s="478" t="str">
        <f>tarifs!$K$42</f>
        <v>les taux 2016 seront modifiés en 2017 !</v>
      </c>
      <c r="L27" s="479"/>
      <c r="M27" s="479"/>
      <c r="N27" s="479"/>
      <c r="O27" s="479"/>
      <c r="P27" s="480"/>
      <c r="Q27" s="31"/>
      <c r="R27" s="586" t="str">
        <f>tarifs!$R$42</f>
        <v>évolution part salariale santé = 25% évolution forfait</v>
      </c>
      <c r="S27" s="587"/>
      <c r="T27" s="587"/>
      <c r="U27" s="587"/>
      <c r="V27" s="587"/>
      <c r="W27" s="588"/>
      <c r="X27" s="29"/>
    </row>
    <row r="28" spans="1:24" s="43" customFormat="1" ht="5.0999999999999996" customHeight="1" x14ac:dyDescent="0.2">
      <c r="A28" s="15"/>
      <c r="B28" s="15"/>
      <c r="C28" s="15"/>
      <c r="D28" s="23"/>
      <c r="E28" s="23"/>
      <c r="F28" s="23"/>
      <c r="G28" s="23"/>
      <c r="H28" s="23"/>
      <c r="I28" s="23"/>
      <c r="J28" s="23"/>
      <c r="K28" s="23"/>
      <c r="L28" s="23"/>
      <c r="M28" s="23"/>
      <c r="N28" s="23"/>
      <c r="O28" s="23"/>
      <c r="P28" s="23"/>
      <c r="Q28" s="23"/>
      <c r="R28" s="44"/>
      <c r="S28" s="44"/>
      <c r="T28" s="44"/>
      <c r="U28" s="44"/>
      <c r="V28" s="44"/>
      <c r="W28" s="44"/>
      <c r="X28" s="15"/>
    </row>
  </sheetData>
  <mergeCells count="121">
    <mergeCell ref="D27:I27"/>
    <mergeCell ref="K27:P27"/>
    <mergeCell ref="R27:W27"/>
    <mergeCell ref="B24:B25"/>
    <mergeCell ref="D24:I24"/>
    <mergeCell ref="K24:P24"/>
    <mergeCell ref="R24:W24"/>
    <mergeCell ref="D25:I25"/>
    <mergeCell ref="K25:P25"/>
    <mergeCell ref="R25:W25"/>
    <mergeCell ref="D21:I21"/>
    <mergeCell ref="K21:P21"/>
    <mergeCell ref="R21:W21"/>
    <mergeCell ref="B22:B23"/>
    <mergeCell ref="D22:I22"/>
    <mergeCell ref="K22:P22"/>
    <mergeCell ref="R22:W22"/>
    <mergeCell ref="D23:I23"/>
    <mergeCell ref="K23:P23"/>
    <mergeCell ref="R23:W23"/>
    <mergeCell ref="V19:W19"/>
    <mergeCell ref="D20:E20"/>
    <mergeCell ref="H20:I20"/>
    <mergeCell ref="K20:L20"/>
    <mergeCell ref="O20:P20"/>
    <mergeCell ref="R20:S20"/>
    <mergeCell ref="V20:W20"/>
    <mergeCell ref="B19:B20"/>
    <mergeCell ref="D19:E19"/>
    <mergeCell ref="H19:I19"/>
    <mergeCell ref="K19:L19"/>
    <mergeCell ref="O19:P19"/>
    <mergeCell ref="R19:S19"/>
    <mergeCell ref="D18:E18"/>
    <mergeCell ref="H18:I18"/>
    <mergeCell ref="K18:L18"/>
    <mergeCell ref="O18:P18"/>
    <mergeCell ref="R18:S18"/>
    <mergeCell ref="V18:W18"/>
    <mergeCell ref="B17:B18"/>
    <mergeCell ref="D17:E17"/>
    <mergeCell ref="H17:I17"/>
    <mergeCell ref="K17:L17"/>
    <mergeCell ref="O17:P17"/>
    <mergeCell ref="R17:S17"/>
    <mergeCell ref="T16:W16"/>
    <mergeCell ref="V14:W14"/>
    <mergeCell ref="D15:E15"/>
    <mergeCell ref="H15:I15"/>
    <mergeCell ref="K15:L15"/>
    <mergeCell ref="O15:P15"/>
    <mergeCell ref="R15:S15"/>
    <mergeCell ref="V15:W15"/>
    <mergeCell ref="V17:W17"/>
    <mergeCell ref="B14:B15"/>
    <mergeCell ref="D14:E14"/>
    <mergeCell ref="H14:I14"/>
    <mergeCell ref="K14:L14"/>
    <mergeCell ref="O14:P14"/>
    <mergeCell ref="R14:S14"/>
    <mergeCell ref="D16:E16"/>
    <mergeCell ref="F16:I16"/>
    <mergeCell ref="K16:L16"/>
    <mergeCell ref="M16:P16"/>
    <mergeCell ref="R16:S16"/>
    <mergeCell ref="B12:B13"/>
    <mergeCell ref="D12:E12"/>
    <mergeCell ref="H12:I12"/>
    <mergeCell ref="K12:L12"/>
    <mergeCell ref="O12:P12"/>
    <mergeCell ref="R12:S12"/>
    <mergeCell ref="V12:W12"/>
    <mergeCell ref="D13:E13"/>
    <mergeCell ref="H13:I13"/>
    <mergeCell ref="K13:L13"/>
    <mergeCell ref="O13:P13"/>
    <mergeCell ref="R13:S13"/>
    <mergeCell ref="V13:W13"/>
    <mergeCell ref="R9:S9"/>
    <mergeCell ref="T9:U9"/>
    <mergeCell ref="V9:W9"/>
    <mergeCell ref="D11:E11"/>
    <mergeCell ref="F11:I11"/>
    <mergeCell ref="K11:L11"/>
    <mergeCell ref="M11:P11"/>
    <mergeCell ref="R11:S11"/>
    <mergeCell ref="T11:W11"/>
    <mergeCell ref="B9:B10"/>
    <mergeCell ref="D9:E9"/>
    <mergeCell ref="F9:G9"/>
    <mergeCell ref="H9:I9"/>
    <mergeCell ref="K9:L9"/>
    <mergeCell ref="D7:F7"/>
    <mergeCell ref="G7:I7"/>
    <mergeCell ref="K7:M7"/>
    <mergeCell ref="N7:P7"/>
    <mergeCell ref="M9:N9"/>
    <mergeCell ref="O9:P9"/>
    <mergeCell ref="R7:T7"/>
    <mergeCell ref="U7:W7"/>
    <mergeCell ref="D6:F6"/>
    <mergeCell ref="G6:I6"/>
    <mergeCell ref="K6:M6"/>
    <mergeCell ref="N6:P6"/>
    <mergeCell ref="R6:T6"/>
    <mergeCell ref="U6:W6"/>
    <mergeCell ref="D5:F5"/>
    <mergeCell ref="G5:I5"/>
    <mergeCell ref="K5:M5"/>
    <mergeCell ref="N5:P5"/>
    <mergeCell ref="R5:T5"/>
    <mergeCell ref="U5:W5"/>
    <mergeCell ref="D2:I2"/>
    <mergeCell ref="K2:P2"/>
    <mergeCell ref="R2:W2"/>
    <mergeCell ref="D4:F4"/>
    <mergeCell ref="G4:I4"/>
    <mergeCell ref="K4:M4"/>
    <mergeCell ref="N4:P4"/>
    <mergeCell ref="R4:T4"/>
    <mergeCell ref="U4:W4"/>
  </mergeCells>
  <pageMargins left="0.7" right="0.7" top="0.75" bottom="0.75" header="0.3" footer="0.3"/>
  <pageSetup paperSize="9" orientation="portrait" horizontalDpi="1200"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136"/>
  <sheetViews>
    <sheetView showGridLines="0" showZeros="0" zoomScaleNormal="100" workbookViewId="0"/>
  </sheetViews>
  <sheetFormatPr baseColWidth="10" defaultColWidth="11.42578125" defaultRowHeight="11.25" x14ac:dyDescent="0.2"/>
  <cols>
    <col min="1" max="1" width="0.85546875" style="10" customWidth="1"/>
    <col min="2" max="2" width="23" style="34" customWidth="1"/>
    <col min="3" max="3" width="0.85546875" style="10" customWidth="1"/>
    <col min="4" max="5" width="10" style="98" customWidth="1"/>
    <col min="6" max="6" width="7" style="98" customWidth="1"/>
    <col min="7" max="7" width="9.140625" style="98" customWidth="1"/>
    <col min="8" max="8" width="6.7109375" style="98" customWidth="1"/>
    <col min="9" max="9" width="6.28515625" style="98" customWidth="1"/>
    <col min="10" max="10" width="0.85546875" style="98" customWidth="1"/>
    <col min="11" max="12" width="10" style="99" customWidth="1"/>
    <col min="13" max="13" width="7.85546875" style="99" customWidth="1"/>
    <col min="14" max="14" width="9.140625" style="99" customWidth="1"/>
    <col min="15" max="15" width="6.7109375" style="99" customWidth="1"/>
    <col min="16" max="16" width="6.28515625" style="99" customWidth="1"/>
    <col min="17" max="17" width="0.85546875" style="99" customWidth="1"/>
    <col min="18" max="18" width="8.42578125" style="214" customWidth="1"/>
    <col min="19" max="19" width="8.42578125" style="47" customWidth="1"/>
    <col min="20" max="20" width="6.7109375" style="214" customWidth="1"/>
    <col min="21" max="21" width="7.85546875" style="214" customWidth="1"/>
    <col min="22" max="22" width="6.7109375" style="214" customWidth="1"/>
    <col min="23" max="23" width="7" style="34" customWidth="1"/>
    <col min="24" max="24" width="4.7109375" style="185" customWidth="1"/>
    <col min="25" max="25" width="4.7109375" style="86" customWidth="1"/>
    <col min="26" max="26" width="4.7109375" style="84" customWidth="1"/>
    <col min="27" max="27" width="0.85546875" style="216" customWidth="1"/>
    <col min="28" max="16384" width="11.42578125" style="34"/>
  </cols>
  <sheetData>
    <row r="1" spans="1:27" s="10" customFormat="1" ht="5.0999999999999996" customHeight="1" x14ac:dyDescent="0.2">
      <c r="A1" s="98"/>
      <c r="B1" s="52"/>
      <c r="C1" s="98"/>
      <c r="D1" s="53"/>
      <c r="E1" s="53"/>
      <c r="F1" s="53"/>
      <c r="G1" s="53"/>
      <c r="H1" s="53"/>
      <c r="I1" s="53"/>
      <c r="J1" s="53"/>
      <c r="K1" s="53"/>
      <c r="L1" s="53"/>
      <c r="M1" s="53"/>
      <c r="N1" s="53"/>
      <c r="O1" s="53"/>
      <c r="P1" s="53"/>
      <c r="Q1" s="53"/>
      <c r="R1" s="216"/>
      <c r="S1" s="216"/>
      <c r="T1" s="216"/>
      <c r="U1" s="216"/>
      <c r="V1" s="216"/>
      <c r="W1" s="216"/>
      <c r="X1" s="84"/>
      <c r="Y1" s="84"/>
      <c r="Z1" s="84"/>
      <c r="AA1" s="29"/>
    </row>
    <row r="2" spans="1:27" ht="11.25" customHeight="1" x14ac:dyDescent="0.2">
      <c r="A2" s="98"/>
      <c r="B2" s="438" t="s">
        <v>50</v>
      </c>
      <c r="C2" s="54"/>
      <c r="D2" s="664" t="s">
        <v>51</v>
      </c>
      <c r="E2" s="665"/>
      <c r="F2" s="665"/>
      <c r="G2" s="665"/>
      <c r="H2" s="665"/>
      <c r="I2" s="666"/>
      <c r="J2" s="53"/>
      <c r="K2" s="664" t="s">
        <v>52</v>
      </c>
      <c r="L2" s="665"/>
      <c r="M2" s="665"/>
      <c r="N2" s="665"/>
      <c r="O2" s="665"/>
      <c r="P2" s="666"/>
      <c r="Q2" s="53"/>
      <c r="R2" s="783" t="s">
        <v>53</v>
      </c>
      <c r="S2" s="784"/>
      <c r="T2" s="784"/>
      <c r="U2" s="784"/>
      <c r="V2" s="784"/>
      <c r="W2" s="784"/>
      <c r="X2" s="785"/>
      <c r="Y2" s="785"/>
      <c r="Z2" s="786"/>
      <c r="AA2" s="214"/>
    </row>
    <row r="3" spans="1:27" s="10" customFormat="1" ht="5.0999999999999996" customHeight="1" x14ac:dyDescent="0.2">
      <c r="A3" s="98"/>
      <c r="B3" s="415"/>
      <c r="C3" s="98"/>
      <c r="D3" s="55"/>
      <c r="E3" s="55"/>
      <c r="F3" s="55"/>
      <c r="G3" s="55"/>
      <c r="H3" s="55"/>
      <c r="I3" s="55"/>
      <c r="J3" s="53"/>
      <c r="K3" s="55"/>
      <c r="L3" s="55"/>
      <c r="M3" s="55"/>
      <c r="N3" s="55"/>
      <c r="O3" s="55"/>
      <c r="P3" s="55"/>
      <c r="Q3" s="53"/>
      <c r="R3" s="56"/>
      <c r="S3" s="56"/>
      <c r="T3" s="56"/>
      <c r="U3" s="56"/>
      <c r="V3" s="56"/>
      <c r="W3" s="56"/>
      <c r="X3" s="184"/>
      <c r="Y3" s="184"/>
      <c r="Z3" s="184"/>
      <c r="AA3" s="29"/>
    </row>
    <row r="4" spans="1:27" ht="11.25" customHeight="1" x14ac:dyDescent="0.2">
      <c r="A4" s="57"/>
      <c r="B4" s="438" t="str">
        <f>tarifs!$B$4</f>
        <v>santé</v>
      </c>
      <c r="C4" s="58"/>
      <c r="D4" s="667" t="str">
        <f>tarifs!$D$4</f>
        <v>régime général</v>
      </c>
      <c r="E4" s="668"/>
      <c r="F4" s="669"/>
      <c r="G4" s="670" t="str">
        <f>tarifs!$G$4</f>
        <v>régime local alsace moselle</v>
      </c>
      <c r="H4" s="668"/>
      <c r="I4" s="669"/>
      <c r="K4" s="667" t="str">
        <f>tarifs!$D$4</f>
        <v>régime général</v>
      </c>
      <c r="L4" s="668"/>
      <c r="M4" s="669"/>
      <c r="N4" s="670" t="str">
        <f>tarifs!$G$4</f>
        <v>régime local alsace moselle</v>
      </c>
      <c r="O4" s="668"/>
      <c r="P4" s="669"/>
      <c r="Q4" s="98"/>
      <c r="R4" s="667" t="str">
        <f>tarifs!$D$4</f>
        <v>régime général</v>
      </c>
      <c r="S4" s="668"/>
      <c r="T4" s="669"/>
      <c r="U4" s="670" t="str">
        <f>tarifs!$G$4</f>
        <v>régime local alsace moselle</v>
      </c>
      <c r="V4" s="668"/>
      <c r="W4" s="669"/>
      <c r="X4" s="790" t="s">
        <v>54</v>
      </c>
      <c r="Y4" s="791"/>
      <c r="Z4" s="792"/>
      <c r="AA4" s="34"/>
    </row>
    <row r="5" spans="1:27" s="1" customFormat="1" ht="11.25" customHeight="1" x14ac:dyDescent="0.2">
      <c r="A5" s="11"/>
      <c r="B5" s="439" t="str">
        <f>tarifs!$B$5</f>
        <v>forfait régime famille de base</v>
      </c>
      <c r="C5" s="17"/>
      <c r="D5" s="671">
        <f>tarifs!$D$5*CCFT!$C$9*12</f>
        <v>75591458.280000001</v>
      </c>
      <c r="E5" s="672"/>
      <c r="F5" s="673"/>
      <c r="G5" s="672">
        <f>tarifs!$G$5*CCFT!$C$8*12</f>
        <v>2020395.9600000002</v>
      </c>
      <c r="H5" s="672"/>
      <c r="I5" s="673"/>
      <c r="J5" s="101"/>
      <c r="K5" s="671">
        <f>tarifs!$K$5*CCFT!$C$9*12</f>
        <v>74011438.800000012</v>
      </c>
      <c r="L5" s="672"/>
      <c r="M5" s="673"/>
      <c r="N5" s="672">
        <f>tarifs!$N$5*CCFT!$C$8*12</f>
        <v>1849263.4799999997</v>
      </c>
      <c r="O5" s="672"/>
      <c r="P5" s="673"/>
      <c r="Q5" s="101"/>
      <c r="R5" s="736">
        <f>K5-D5</f>
        <v>-1580019.4799999893</v>
      </c>
      <c r="S5" s="737"/>
      <c r="T5" s="738"/>
      <c r="U5" s="737">
        <f>N5-G5</f>
        <v>-171132.48000000045</v>
      </c>
      <c r="V5" s="737"/>
      <c r="W5" s="737"/>
      <c r="X5" s="692">
        <f>SUM(R5:W5)</f>
        <v>-1751151.9599999897</v>
      </c>
      <c r="Y5" s="693"/>
      <c r="Z5" s="694"/>
    </row>
    <row r="6" spans="1:27" s="2" customFormat="1" ht="11.25" customHeight="1" x14ac:dyDescent="0.2">
      <c r="A6" s="39"/>
      <c r="B6" s="654" t="s">
        <v>55</v>
      </c>
      <c r="C6" s="18"/>
      <c r="D6" s="674">
        <f>(D5*25%)+'plafonnement santé'!$Y$4</f>
        <v>18891431.482749999</v>
      </c>
      <c r="E6" s="675"/>
      <c r="F6" s="676"/>
      <c r="G6" s="675">
        <f>(G5*25%)+'plafonnement santé'!$Y$6</f>
        <v>504874.7542266667</v>
      </c>
      <c r="H6" s="675"/>
      <c r="I6" s="676"/>
      <c r="J6" s="98"/>
      <c r="K6" s="674">
        <f>(K5*25%)+'plafonnement santé'!$Y$9</f>
        <v>18482296.137300003</v>
      </c>
      <c r="L6" s="675"/>
      <c r="M6" s="676"/>
      <c r="N6" s="675">
        <f>(N5*25%)+'plafonnement santé'!$Y$12</f>
        <v>461391.55720916658</v>
      </c>
      <c r="O6" s="675"/>
      <c r="P6" s="676"/>
      <c r="Q6" s="98"/>
      <c r="R6" s="695">
        <f>K6-D6</f>
        <v>-409135.34544999525</v>
      </c>
      <c r="S6" s="696"/>
      <c r="T6" s="697"/>
      <c r="U6" s="696">
        <f>N6-G6</f>
        <v>-43483.197017500119</v>
      </c>
      <c r="V6" s="696"/>
      <c r="W6" s="696"/>
      <c r="X6" s="713">
        <f t="shared" ref="X6:X8" si="0">SUM(R6:W6)</f>
        <v>-452618.54246749537</v>
      </c>
      <c r="Y6" s="714"/>
      <c r="Z6" s="715"/>
    </row>
    <row r="7" spans="1:27" s="3" customFormat="1" ht="11.25" customHeight="1" x14ac:dyDescent="0.2">
      <c r="A7" s="40"/>
      <c r="B7" s="655"/>
      <c r="C7" s="18"/>
      <c r="D7" s="680">
        <f>D6/D5</f>
        <v>0.24991489663784269</v>
      </c>
      <c r="E7" s="681"/>
      <c r="F7" s="682"/>
      <c r="G7" s="681">
        <f>G6/G5</f>
        <v>0.24988901394688329</v>
      </c>
      <c r="H7" s="681"/>
      <c r="I7" s="682"/>
      <c r="J7" s="98"/>
      <c r="K7" s="680">
        <f>K6/K5</f>
        <v>0.24972215696609321</v>
      </c>
      <c r="L7" s="681"/>
      <c r="M7" s="682"/>
      <c r="N7" s="681">
        <f>N6/N5</f>
        <v>0.24950017247361994</v>
      </c>
      <c r="O7" s="681"/>
      <c r="P7" s="682"/>
      <c r="Q7" s="98"/>
      <c r="R7" s="720">
        <f>R6/R5</f>
        <v>0.25894322863031916</v>
      </c>
      <c r="S7" s="775"/>
      <c r="T7" s="776"/>
      <c r="U7" s="719">
        <f>U6/U5</f>
        <v>0.25409084831529355</v>
      </c>
      <c r="V7" s="719"/>
      <c r="W7" s="720"/>
      <c r="X7" s="721">
        <f>X6/X5</f>
        <v>0.25846902656437537</v>
      </c>
      <c r="Y7" s="721"/>
      <c r="Z7" s="721"/>
    </row>
    <row r="8" spans="1:27" s="1" customFormat="1" ht="11.25" customHeight="1" x14ac:dyDescent="0.2">
      <c r="A8" s="11"/>
      <c r="B8" s="656" t="str">
        <f>tarifs!$B$7</f>
        <v>part patronale</v>
      </c>
      <c r="C8" s="19"/>
      <c r="D8" s="677">
        <f>(D5*75%)-'plafonnement santé'!$Y$4</f>
        <v>56700026.797250003</v>
      </c>
      <c r="E8" s="678"/>
      <c r="F8" s="679"/>
      <c r="G8" s="678">
        <f>(G5*75%)-'plafonnement santé'!$Y$6</f>
        <v>1515521.2057733336</v>
      </c>
      <c r="H8" s="678"/>
      <c r="I8" s="679"/>
      <c r="J8" s="98"/>
      <c r="K8" s="677">
        <f>(K5*75%)-'plafonnement santé'!$Y$9</f>
        <v>55529142.662700012</v>
      </c>
      <c r="L8" s="678"/>
      <c r="M8" s="679"/>
      <c r="N8" s="678">
        <f>(N5*75%)-'plafonnement santé'!$Y$12</f>
        <v>1387871.9227908333</v>
      </c>
      <c r="O8" s="678"/>
      <c r="P8" s="679"/>
      <c r="Q8" s="98"/>
      <c r="R8" s="793">
        <f>K8-D8</f>
        <v>-1170884.1345499903</v>
      </c>
      <c r="S8" s="794"/>
      <c r="T8" s="795"/>
      <c r="U8" s="794">
        <f>N8-G8</f>
        <v>-127649.28298250027</v>
      </c>
      <c r="V8" s="794"/>
      <c r="W8" s="794"/>
      <c r="X8" s="796">
        <f t="shared" si="0"/>
        <v>-1298533.4175324906</v>
      </c>
      <c r="Y8" s="797"/>
      <c r="Z8" s="798"/>
    </row>
    <row r="9" spans="1:27" s="1" customFormat="1" ht="11.25" customHeight="1" x14ac:dyDescent="0.2">
      <c r="A9" s="11"/>
      <c r="B9" s="657"/>
      <c r="C9" s="19"/>
      <c r="D9" s="452">
        <f>D8/D5</f>
        <v>0.75008510336215728</v>
      </c>
      <c r="E9" s="453"/>
      <c r="F9" s="454"/>
      <c r="G9" s="453">
        <f>G8/G5</f>
        <v>0.75011098605311677</v>
      </c>
      <c r="H9" s="453"/>
      <c r="I9" s="454"/>
      <c r="J9" s="98"/>
      <c r="K9" s="452">
        <f>K8/K5</f>
        <v>0.75027784303390688</v>
      </c>
      <c r="L9" s="453"/>
      <c r="M9" s="454"/>
      <c r="N9" s="453">
        <f>N8/N5</f>
        <v>0.75049982752638011</v>
      </c>
      <c r="O9" s="453"/>
      <c r="P9" s="454"/>
      <c r="Q9" s="98"/>
      <c r="R9" s="722">
        <f>R8/R5</f>
        <v>0.74105677136967851</v>
      </c>
      <c r="S9" s="723"/>
      <c r="T9" s="724"/>
      <c r="U9" s="725">
        <f>U8/U5</f>
        <v>0.74590915168470617</v>
      </c>
      <c r="V9" s="725"/>
      <c r="W9" s="722"/>
      <c r="X9" s="726">
        <f>X8/X5</f>
        <v>0.74153097343562246</v>
      </c>
      <c r="Y9" s="726"/>
      <c r="Z9" s="726"/>
    </row>
    <row r="10" spans="1:27" s="11" customFormat="1" ht="5.0999999999999996" customHeight="1" x14ac:dyDescent="0.2">
      <c r="B10" s="421"/>
      <c r="D10" s="13"/>
      <c r="E10" s="13"/>
      <c r="F10" s="13"/>
      <c r="G10" s="13"/>
      <c r="H10" s="13"/>
      <c r="I10" s="13"/>
      <c r="J10" s="13"/>
      <c r="K10" s="13"/>
      <c r="L10" s="13"/>
      <c r="M10" s="13"/>
      <c r="N10" s="13"/>
      <c r="O10" s="13"/>
      <c r="P10" s="13"/>
      <c r="Q10" s="13"/>
      <c r="R10" s="216"/>
      <c r="S10" s="216"/>
      <c r="T10" s="216"/>
      <c r="U10" s="216"/>
      <c r="V10" s="216"/>
      <c r="W10" s="216"/>
      <c r="X10" s="84"/>
      <c r="Y10" s="84"/>
      <c r="Z10" s="84"/>
      <c r="AA10" s="216"/>
    </row>
    <row r="11" spans="1:27" s="1" customFormat="1" ht="11.25" customHeight="1" x14ac:dyDescent="0.2">
      <c r="A11" s="59"/>
      <c r="B11" s="625" t="str">
        <f>tarifs!$B$18</f>
        <v>prévoyance incapacité invalidité décès</v>
      </c>
      <c r="C11" s="60"/>
      <c r="D11" s="727" t="str">
        <f>tarifs!$D$18</f>
        <v>tranche A</v>
      </c>
      <c r="E11" s="728"/>
      <c r="F11" s="727" t="str">
        <f>tarifs!$F$18</f>
        <v>tranche B</v>
      </c>
      <c r="G11" s="728"/>
      <c r="H11" s="727" t="str">
        <f>tarifs!$H$18</f>
        <v>tranche C</v>
      </c>
      <c r="I11" s="728"/>
      <c r="J11" s="98"/>
      <c r="K11" s="727" t="str">
        <f>tarifs!$D$18</f>
        <v>tranche A</v>
      </c>
      <c r="L11" s="728"/>
      <c r="M11" s="727" t="str">
        <f>tarifs!$F$18</f>
        <v>tranche B</v>
      </c>
      <c r="N11" s="728"/>
      <c r="O11" s="727" t="str">
        <f>tarifs!$H$18</f>
        <v>tranche C</v>
      </c>
      <c r="P11" s="728"/>
      <c r="Q11" s="98"/>
      <c r="R11" s="727" t="s">
        <v>23</v>
      </c>
      <c r="S11" s="728"/>
      <c r="T11" s="727" t="s">
        <v>24</v>
      </c>
      <c r="U11" s="728"/>
      <c r="V11" s="729" t="s">
        <v>25</v>
      </c>
      <c r="W11" s="728"/>
      <c r="X11" s="730" t="s">
        <v>54</v>
      </c>
      <c r="Y11" s="731"/>
      <c r="Z11" s="732"/>
      <c r="AA11" s="61"/>
    </row>
    <row r="12" spans="1:27" s="1" customFormat="1" ht="45" customHeight="1" x14ac:dyDescent="0.2">
      <c r="A12" s="59"/>
      <c r="B12" s="579"/>
      <c r="C12" s="60"/>
      <c r="D12" s="4" t="str">
        <f>tarifs!$D$19</f>
        <v>employé</v>
      </c>
      <c r="E12" s="5" t="str">
        <f>tarifs!$E$19</f>
        <v>agent de maîtrise cadre</v>
      </c>
      <c r="F12" s="4" t="str">
        <f>tarifs!$D$19</f>
        <v>employé</v>
      </c>
      <c r="G12" s="5" t="str">
        <f>tarifs!$E$19</f>
        <v>agent de maîtrise cadre</v>
      </c>
      <c r="H12" s="4" t="str">
        <f>tarifs!$D$19</f>
        <v>employé</v>
      </c>
      <c r="I12" s="5" t="str">
        <f>tarifs!$E$19</f>
        <v>agent de maîtrise cadre</v>
      </c>
      <c r="J12" s="12"/>
      <c r="K12" s="4" t="str">
        <f>tarifs!$D$19</f>
        <v>employé</v>
      </c>
      <c r="L12" s="5" t="str">
        <f>tarifs!$E$19</f>
        <v>agent de maîtrise cadre</v>
      </c>
      <c r="M12" s="4" t="str">
        <f>tarifs!$D$19</f>
        <v>employé</v>
      </c>
      <c r="N12" s="5" t="str">
        <f>tarifs!$E$19</f>
        <v>agent de maîtrise cadre</v>
      </c>
      <c r="O12" s="4" t="str">
        <f>tarifs!$D$19</f>
        <v>employé</v>
      </c>
      <c r="P12" s="5" t="str">
        <f>tarifs!$E$19</f>
        <v>agent de maîtrise cadre</v>
      </c>
      <c r="Q12" s="12"/>
      <c r="R12" s="4" t="s">
        <v>26</v>
      </c>
      <c r="S12" s="5" t="s">
        <v>27</v>
      </c>
      <c r="T12" s="4" t="s">
        <v>26</v>
      </c>
      <c r="U12" s="5" t="s">
        <v>27</v>
      </c>
      <c r="V12" s="4" t="s">
        <v>26</v>
      </c>
      <c r="W12" s="5" t="s">
        <v>27</v>
      </c>
      <c r="X12" s="733"/>
      <c r="Y12" s="734"/>
      <c r="Z12" s="735"/>
      <c r="AA12" s="214"/>
    </row>
    <row r="13" spans="1:27" s="1" customFormat="1" ht="11.25" customHeight="1" x14ac:dyDescent="0.2">
      <c r="A13" s="42"/>
      <c r="B13" s="422" t="str">
        <f>tarifs!$B$20</f>
        <v>agent de droit privé</v>
      </c>
      <c r="C13" s="21"/>
      <c r="D13" s="176">
        <f>'BS 2015'!$K$11*tarifs!$D$20</f>
        <v>22144522.473159999</v>
      </c>
      <c r="E13" s="403">
        <f>('BS 2015'!$K$17*tarifs!$D$20)+('BS 2015'!$K$20*tarifs!$D$20)</f>
        <v>10446600.350880001</v>
      </c>
      <c r="F13" s="176">
        <f>'BS 2015'!$M$11*tarifs!$F$20</f>
        <v>98603.331839999999</v>
      </c>
      <c r="G13" s="177">
        <f>('BS 2015'!$M$17*tarifs!$F$20)+('BS 2015'!$M$20*tarifs!$F$20)</f>
        <v>5740392.31587</v>
      </c>
      <c r="H13" s="178"/>
      <c r="I13" s="179"/>
      <c r="J13" s="98"/>
      <c r="K13" s="176">
        <f>'BS 2015'!$K$11*tarifs!$K$20</f>
        <v>21448014.776799999</v>
      </c>
      <c r="L13" s="403">
        <f>('BS 2015'!$K$17*tarifs!$K$20)+('BS 2015'!$K$20*tarifs!$K$20)</f>
        <v>10118025.3024</v>
      </c>
      <c r="M13" s="176">
        <f>'BS 2015'!$M$11*tarifs!$M$20</f>
        <v>106103.1296</v>
      </c>
      <c r="N13" s="177">
        <f>('BS 2015'!$M$17*tarifs!$M$20)+('BS 2015'!$M$20*tarifs!$M$20)</f>
        <v>6177008.2052999996</v>
      </c>
      <c r="O13" s="178"/>
      <c r="P13" s="179"/>
      <c r="Q13" s="98"/>
      <c r="R13" s="176">
        <f t="shared" ref="R13:U14" si="1">K13-D13</f>
        <v>-696507.69635999948</v>
      </c>
      <c r="S13" s="403">
        <f t="shared" si="1"/>
        <v>-328575.04848000035</v>
      </c>
      <c r="T13" s="176">
        <f t="shared" si="1"/>
        <v>7499.7977600000013</v>
      </c>
      <c r="U13" s="177">
        <f t="shared" si="1"/>
        <v>436615.88942999952</v>
      </c>
      <c r="V13" s="178"/>
      <c r="W13" s="179"/>
      <c r="X13" s="698">
        <f>SUM(R13:W13)</f>
        <v>-580967.05765000032</v>
      </c>
      <c r="Y13" s="699"/>
      <c r="Z13" s="700"/>
      <c r="AA13" s="45"/>
    </row>
    <row r="14" spans="1:27" s="1" customFormat="1" ht="11.25" customHeight="1" x14ac:dyDescent="0.2">
      <c r="A14" s="39"/>
      <c r="B14" s="462" t="str">
        <f>tarifs!$B$21</f>
        <v>part salariale</v>
      </c>
      <c r="C14" s="18"/>
      <c r="D14" s="180">
        <f>'BS 2015'!$K$11*tarifs!$D$21</f>
        <v>5760008.0921200002</v>
      </c>
      <c r="E14" s="399">
        <f>('BS 2015'!$K$17*tarifs!$D$21)+('BS 2015'!$K$20*tarifs!$D$21)</f>
        <v>2717263.4961600001</v>
      </c>
      <c r="F14" s="180">
        <f>'BS 2015'!$M$11*tarifs!$F$21</f>
        <v>41404.413439999997</v>
      </c>
      <c r="G14" s="181">
        <f>('BS 2015'!$M$17*tarifs!$G$21)+('BS 2015'!$M$20*tarifs!$G$21)</f>
        <v>2583478.3503600005</v>
      </c>
      <c r="H14" s="180"/>
      <c r="I14" s="181"/>
      <c r="J14" s="25"/>
      <c r="K14" s="180">
        <f>'BS 2015'!$K$11*tarifs!$K$21</f>
        <v>5572061.5708800005</v>
      </c>
      <c r="L14" s="399">
        <f>('BS 2015'!$K$17*tarifs!$K$21)+('BS 2015'!$K$20*tarifs!$K$21)</f>
        <v>2628600.38784</v>
      </c>
      <c r="M14" s="180">
        <f>'BS 2015'!$M$11*tarifs!$M$21</f>
        <v>44549.48992</v>
      </c>
      <c r="N14" s="181">
        <f>('BS 2015'!$M$17*tarifs!$N$21)+('BS 2015'!$M$20*tarifs!$N$21)</f>
        <v>2780659.7197799999</v>
      </c>
      <c r="O14" s="180"/>
      <c r="P14" s="181"/>
      <c r="Q14" s="25"/>
      <c r="R14" s="180">
        <f t="shared" si="1"/>
        <v>-187946.52123999968</v>
      </c>
      <c r="S14" s="399">
        <f t="shared" si="1"/>
        <v>-88663.108320000116</v>
      </c>
      <c r="T14" s="180">
        <f t="shared" si="1"/>
        <v>3145.0764800000034</v>
      </c>
      <c r="U14" s="181">
        <f t="shared" si="1"/>
        <v>197181.36941999942</v>
      </c>
      <c r="V14" s="180"/>
      <c r="W14" s="181"/>
      <c r="X14" s="701">
        <f>SUM(R14:W14)</f>
        <v>-76283.183660000388</v>
      </c>
      <c r="Y14" s="702"/>
      <c r="Z14" s="703"/>
      <c r="AA14" s="45"/>
    </row>
    <row r="15" spans="1:27" s="1" customFormat="1" ht="11.25" customHeight="1" x14ac:dyDescent="0.2">
      <c r="A15" s="39"/>
      <c r="B15" s="463"/>
      <c r="C15" s="18"/>
      <c r="D15" s="172">
        <f>D14/D13</f>
        <v>0.26010983524712933</v>
      </c>
      <c r="E15" s="395">
        <f t="shared" ref="E15:G15" si="2">E14/E13</f>
        <v>0.26010983524712927</v>
      </c>
      <c r="F15" s="168">
        <f t="shared" si="2"/>
        <v>0.41990886785839465</v>
      </c>
      <c r="G15" s="169">
        <f t="shared" si="2"/>
        <v>0.45005257623554162</v>
      </c>
      <c r="H15" s="172"/>
      <c r="I15" s="174"/>
      <c r="J15" s="24"/>
      <c r="K15" s="172">
        <f>K14/K13</f>
        <v>0.25979381443298971</v>
      </c>
      <c r="L15" s="395">
        <f t="shared" ref="L15" si="3">L14/L13</f>
        <v>0.25979381443298966</v>
      </c>
      <c r="M15" s="168">
        <f t="shared" ref="M15" si="4">M14/M13</f>
        <v>0.41986970684039088</v>
      </c>
      <c r="N15" s="169">
        <f t="shared" ref="N15" si="5">N14/N13</f>
        <v>0.45016286644951142</v>
      </c>
      <c r="O15" s="172"/>
      <c r="P15" s="174"/>
      <c r="Q15" s="24"/>
      <c r="R15" s="172">
        <f>R14/R13</f>
        <v>0.2698412698412696</v>
      </c>
      <c r="S15" s="395">
        <f t="shared" ref="S15:U15" si="6">S14/S13</f>
        <v>0.26984126984126988</v>
      </c>
      <c r="T15" s="168">
        <f t="shared" si="6"/>
        <v>0.41935483870967777</v>
      </c>
      <c r="U15" s="169">
        <f t="shared" si="6"/>
        <v>0.45161290322580561</v>
      </c>
      <c r="V15" s="172"/>
      <c r="W15" s="174"/>
      <c r="X15" s="716">
        <f>X14/X13</f>
        <v>0.13130380226473473</v>
      </c>
      <c r="Y15" s="717"/>
      <c r="Z15" s="718"/>
      <c r="AA15" s="45"/>
    </row>
    <row r="16" spans="1:27" s="1" customFormat="1" ht="11.25" customHeight="1" x14ac:dyDescent="0.2">
      <c r="A16" s="39"/>
      <c r="B16" s="464" t="str">
        <f>tarifs!$B$23</f>
        <v>part patronale</v>
      </c>
      <c r="C16" s="18"/>
      <c r="D16" s="182">
        <f>'BS 2015'!$K$11*tarifs!$D$23</f>
        <v>16384514.381039999</v>
      </c>
      <c r="E16" s="401">
        <f>('BS 2015'!$K$17*tarifs!$D$23)+('BS 2015'!$K$20*tarifs!$D$23)</f>
        <v>7729336.8547200002</v>
      </c>
      <c r="F16" s="182">
        <f>'BS 2015'!$M$11*tarifs!$F$23</f>
        <v>57198.918399999995</v>
      </c>
      <c r="G16" s="183">
        <f>('BS 2015'!$M$17*tarifs!$G$23)+('BS 2015'!$M$20*tarifs!$G$23)</f>
        <v>3156913.9655099995</v>
      </c>
      <c r="H16" s="182"/>
      <c r="I16" s="183"/>
      <c r="J16" s="25"/>
      <c r="K16" s="182">
        <f>'BS 2015'!$K$11*tarifs!$K$23</f>
        <v>15875953.20592</v>
      </c>
      <c r="L16" s="401">
        <f>('BS 2015'!$K$17*tarifs!$K$23)+('BS 2015'!$K$20*tarifs!$K$23)</f>
        <v>7489424.9145599995</v>
      </c>
      <c r="M16" s="182">
        <f>'BS 2015'!$M$11*tarifs!$M$23</f>
        <v>61553.63968</v>
      </c>
      <c r="N16" s="183">
        <f>('BS 2015'!$M$17*tarifs!$N$23)+('BS 2015'!$M$20*tarifs!$N$23)</f>
        <v>3398360.5403100001</v>
      </c>
      <c r="O16" s="182"/>
      <c r="P16" s="183"/>
      <c r="Q16" s="25"/>
      <c r="R16" s="182">
        <f>K16-D16</f>
        <v>-508561.1751199998</v>
      </c>
      <c r="S16" s="401">
        <f>L16-E16</f>
        <v>-239911.9401600007</v>
      </c>
      <c r="T16" s="182">
        <f>M16-F16</f>
        <v>4354.7212800000052</v>
      </c>
      <c r="U16" s="183">
        <f>N16-G16</f>
        <v>241446.57480000053</v>
      </c>
      <c r="V16" s="182"/>
      <c r="W16" s="183"/>
      <c r="X16" s="704">
        <f>SUM(R16:W16)</f>
        <v>-502671.81919999991</v>
      </c>
      <c r="Y16" s="705"/>
      <c r="Z16" s="706"/>
      <c r="AA16" s="45"/>
    </row>
    <row r="17" spans="1:27" s="1" customFormat="1" ht="11.25" customHeight="1" x14ac:dyDescent="0.2">
      <c r="A17" s="39"/>
      <c r="B17" s="465"/>
      <c r="C17" s="18"/>
      <c r="D17" s="173">
        <f>D16/D13</f>
        <v>0.73989016475287073</v>
      </c>
      <c r="E17" s="397">
        <f t="shared" ref="E17:G17" si="7">E16/E13</f>
        <v>0.73989016475287062</v>
      </c>
      <c r="F17" s="170">
        <f t="shared" si="7"/>
        <v>0.58009113214160524</v>
      </c>
      <c r="G17" s="171">
        <f t="shared" si="7"/>
        <v>0.54994742376445838</v>
      </c>
      <c r="H17" s="173"/>
      <c r="I17" s="175"/>
      <c r="J17" s="24"/>
      <c r="K17" s="173">
        <f>K16/K13</f>
        <v>0.74020618556701034</v>
      </c>
      <c r="L17" s="397">
        <f t="shared" ref="L17" si="8">L16/L13</f>
        <v>0.74020618556701023</v>
      </c>
      <c r="M17" s="170">
        <f t="shared" ref="M17" si="9">M16/M13</f>
        <v>0.58013029315960907</v>
      </c>
      <c r="N17" s="171">
        <f t="shared" ref="N17" si="10">N16/N13</f>
        <v>0.5501628664495114</v>
      </c>
      <c r="O17" s="173"/>
      <c r="P17" s="175"/>
      <c r="Q17" s="24"/>
      <c r="R17" s="173">
        <f>R16/R13</f>
        <v>0.73015873015873045</v>
      </c>
      <c r="S17" s="397">
        <f t="shared" ref="S17:U17" si="11">S16/S13</f>
        <v>0.73015873015873156</v>
      </c>
      <c r="T17" s="170">
        <f t="shared" si="11"/>
        <v>0.58064516129032318</v>
      </c>
      <c r="U17" s="171">
        <f t="shared" si="11"/>
        <v>0.55299539170507095</v>
      </c>
      <c r="V17" s="173"/>
      <c r="W17" s="175"/>
      <c r="X17" s="686">
        <f>X16/X13</f>
        <v>0.8652329122296486</v>
      </c>
      <c r="Y17" s="687"/>
      <c r="Z17" s="688"/>
      <c r="AA17" s="45"/>
    </row>
    <row r="18" spans="1:27" s="11" customFormat="1" ht="11.25" customHeight="1" x14ac:dyDescent="0.2">
      <c r="A18" s="39"/>
      <c r="B18" s="422" t="str">
        <f>tarifs!$B$25</f>
        <v>agent de droit public</v>
      </c>
      <c r="C18" s="18"/>
      <c r="D18" s="176">
        <f>'BS 2015'!$K$26*tarifs!$D$25</f>
        <v>1536144.2036700002</v>
      </c>
      <c r="E18" s="402">
        <f>('BS 2015'!$K$29*tarifs!$D$25)+('BS 2015'!$K$32*tarifs!$D$25)</f>
        <v>901617.83076000004</v>
      </c>
      <c r="F18" s="176"/>
      <c r="G18" s="177"/>
      <c r="H18" s="178"/>
      <c r="I18" s="179"/>
      <c r="J18" s="98"/>
      <c r="K18" s="176">
        <f>'BS 2015'!$K$26*tarifs!$K$25</f>
        <v>1529588.8230000001</v>
      </c>
      <c r="L18" s="402">
        <f>('BS 2015'!$K$29*tarifs!$K$25)+('BS 2015'!$K$32*tarifs!$K$25)</f>
        <v>897770.24400000006</v>
      </c>
      <c r="M18" s="176"/>
      <c r="N18" s="177"/>
      <c r="O18" s="178"/>
      <c r="P18" s="179"/>
      <c r="Q18" s="98"/>
      <c r="R18" s="176">
        <f>K18-D18</f>
        <v>-6555.3806700001005</v>
      </c>
      <c r="S18" s="402">
        <f>L18-E18</f>
        <v>-3847.5867599999765</v>
      </c>
      <c r="T18" s="176"/>
      <c r="U18" s="177"/>
      <c r="V18" s="178"/>
      <c r="W18" s="179"/>
      <c r="X18" s="698">
        <f>SUM(R18:W18)</f>
        <v>-10402.967430000077</v>
      </c>
      <c r="Y18" s="699"/>
      <c r="Z18" s="700"/>
      <c r="AA18" s="45"/>
    </row>
    <row r="19" spans="1:27" ht="11.25" customHeight="1" x14ac:dyDescent="0.2">
      <c r="A19" s="39"/>
      <c r="B19" s="462" t="str">
        <f>tarifs!$B$26</f>
        <v>part salariale</v>
      </c>
      <c r="C19" s="18"/>
      <c r="D19" s="180">
        <f>'BS 2015'!$K$26*tarifs!$D$26</f>
        <v>399149.84524</v>
      </c>
      <c r="E19" s="398">
        <f>('BS 2015'!$K$29*tarifs!$D$26)+('BS 2015'!$K$32*tarifs!$D$26)</f>
        <v>234275.28271999999</v>
      </c>
      <c r="F19" s="180"/>
      <c r="G19" s="181"/>
      <c r="H19" s="180"/>
      <c r="I19" s="181"/>
      <c r="J19" s="25"/>
      <c r="K19" s="180">
        <f>'BS 2015'!$K$26*tarifs!$K$26</f>
        <v>397693.09398000001</v>
      </c>
      <c r="L19" s="398">
        <f>('BS 2015'!$K$29*tarifs!$K$26)+('BS 2015'!$K$32*tarifs!$K$26)</f>
        <v>233420.26344000001</v>
      </c>
      <c r="M19" s="180"/>
      <c r="N19" s="181"/>
      <c r="O19" s="180"/>
      <c r="P19" s="181"/>
      <c r="Q19" s="25"/>
      <c r="R19" s="180">
        <f>K19-D19</f>
        <v>-1456.75125999999</v>
      </c>
      <c r="S19" s="398">
        <f>L19-E19</f>
        <v>-855.01927999997861</v>
      </c>
      <c r="T19" s="180"/>
      <c r="U19" s="181"/>
      <c r="V19" s="180"/>
      <c r="W19" s="181"/>
      <c r="X19" s="701">
        <f>SUM(R19:W19)</f>
        <v>-2311.7705399999686</v>
      </c>
      <c r="Y19" s="702"/>
      <c r="Z19" s="703"/>
      <c r="AA19" s="45"/>
    </row>
    <row r="20" spans="1:27" s="6" customFormat="1" ht="11.25" customHeight="1" x14ac:dyDescent="0.2">
      <c r="A20" s="39"/>
      <c r="B20" s="463"/>
      <c r="C20" s="18"/>
      <c r="D20" s="172">
        <f>D19/D18</f>
        <v>0.25983878615457562</v>
      </c>
      <c r="E20" s="394">
        <f>E19/E18</f>
        <v>0.25983878615457562</v>
      </c>
      <c r="F20" s="168"/>
      <c r="G20" s="169"/>
      <c r="H20" s="172"/>
      <c r="I20" s="174"/>
      <c r="J20" s="24"/>
      <c r="K20" s="172">
        <f>K19/K18</f>
        <v>0.26</v>
      </c>
      <c r="L20" s="394">
        <f>L19/L18</f>
        <v>0.26</v>
      </c>
      <c r="M20" s="168"/>
      <c r="N20" s="169"/>
      <c r="O20" s="172"/>
      <c r="P20" s="174"/>
      <c r="Q20" s="24"/>
      <c r="R20" s="172">
        <f>R19/R18</f>
        <v>0.2222222222222173</v>
      </c>
      <c r="S20" s="394">
        <f>S19/S18</f>
        <v>0.22222222222221802</v>
      </c>
      <c r="T20" s="168"/>
      <c r="U20" s="169"/>
      <c r="V20" s="172"/>
      <c r="W20" s="174"/>
      <c r="X20" s="716">
        <f>X19/X18</f>
        <v>0.22222222222221755</v>
      </c>
      <c r="Y20" s="717"/>
      <c r="Z20" s="718"/>
      <c r="AA20" s="45"/>
    </row>
    <row r="21" spans="1:27" s="2" customFormat="1" ht="11.25" customHeight="1" x14ac:dyDescent="0.2">
      <c r="A21" s="39"/>
      <c r="B21" s="464" t="str">
        <f>tarifs!$B$28</f>
        <v>part patronale</v>
      </c>
      <c r="C21" s="18"/>
      <c r="D21" s="182">
        <f>'BS 2015'!$K$26*tarifs!$D$28</f>
        <v>1136994.35843</v>
      </c>
      <c r="E21" s="400">
        <f>('BS 2015'!$K$29*tarifs!$D$28)+('BS 2015'!$K$32*tarifs!$D$28)</f>
        <v>667342.54804000002</v>
      </c>
      <c r="F21" s="182"/>
      <c r="G21" s="183"/>
      <c r="H21" s="182"/>
      <c r="I21" s="183"/>
      <c r="J21" s="25"/>
      <c r="K21" s="182">
        <f>'BS 2015'!$K$26*tarifs!$K$28</f>
        <v>1131895.72902</v>
      </c>
      <c r="L21" s="400">
        <f>('BS 2015'!$K$29*tarifs!$K$28)+('BS 2015'!$K$32*tarifs!$K$28)</f>
        <v>664349.98055999994</v>
      </c>
      <c r="M21" s="182"/>
      <c r="N21" s="183"/>
      <c r="O21" s="182"/>
      <c r="P21" s="183"/>
      <c r="Q21" s="25"/>
      <c r="R21" s="182">
        <f>K21-D21</f>
        <v>-5098.6294100000523</v>
      </c>
      <c r="S21" s="400">
        <f>L21-E21</f>
        <v>-2992.5674800000852</v>
      </c>
      <c r="T21" s="182"/>
      <c r="U21" s="183"/>
      <c r="V21" s="182"/>
      <c r="W21" s="183"/>
      <c r="X21" s="704">
        <f>SUM(R21:W21)</f>
        <v>-8091.1968900001375</v>
      </c>
      <c r="Y21" s="705"/>
      <c r="Z21" s="706"/>
      <c r="AA21" s="45"/>
    </row>
    <row r="22" spans="1:27" s="2" customFormat="1" ht="11.25" customHeight="1" x14ac:dyDescent="0.2">
      <c r="A22" s="39"/>
      <c r="B22" s="465"/>
      <c r="C22" s="18"/>
      <c r="D22" s="173">
        <f>D21/D18</f>
        <v>0.74016121384542433</v>
      </c>
      <c r="E22" s="396">
        <f>E21/E18</f>
        <v>0.74016121384542433</v>
      </c>
      <c r="F22" s="170"/>
      <c r="G22" s="171"/>
      <c r="H22" s="173"/>
      <c r="I22" s="175"/>
      <c r="J22" s="24"/>
      <c r="K22" s="173">
        <f>K21/K18</f>
        <v>0.74</v>
      </c>
      <c r="L22" s="396">
        <f>L21/L18</f>
        <v>0.73999999999999988</v>
      </c>
      <c r="M22" s="170"/>
      <c r="N22" s="171"/>
      <c r="O22" s="173"/>
      <c r="P22" s="175"/>
      <c r="Q22" s="24"/>
      <c r="R22" s="173">
        <f>R21/R18</f>
        <v>0.77777777777777379</v>
      </c>
      <c r="S22" s="396">
        <f>S21/S18</f>
        <v>0.77777777777780466</v>
      </c>
      <c r="T22" s="170"/>
      <c r="U22" s="171"/>
      <c r="V22" s="173"/>
      <c r="W22" s="175"/>
      <c r="X22" s="686">
        <f>X21/X18</f>
        <v>0.77777777777778523</v>
      </c>
      <c r="Y22" s="687"/>
      <c r="Z22" s="688"/>
      <c r="AA22" s="45"/>
    </row>
    <row r="23" spans="1:27" s="2" customFormat="1" ht="11.25" customHeight="1" x14ac:dyDescent="0.2">
      <c r="A23" s="39"/>
      <c r="B23" s="430" t="str">
        <f>tarifs!$B$30</f>
        <v>maintien du revenu agent public</v>
      </c>
      <c r="C23" s="18"/>
      <c r="D23" s="661">
        <f>'BS 2015'!$K$35*tarifs!$D$30</f>
        <v>560604.35595</v>
      </c>
      <c r="E23" s="662"/>
      <c r="F23" s="662"/>
      <c r="G23" s="662"/>
      <c r="H23" s="662"/>
      <c r="I23" s="663"/>
      <c r="J23" s="98"/>
      <c r="K23" s="661">
        <f>'BS 2015'!$K$35*tarifs!$K$30</f>
        <v>729363.60537</v>
      </c>
      <c r="L23" s="662"/>
      <c r="M23" s="662"/>
      <c r="N23" s="662"/>
      <c r="O23" s="662"/>
      <c r="P23" s="663"/>
      <c r="Q23" s="98"/>
      <c r="R23" s="661">
        <f t="shared" ref="R23:W24" si="12">K23-D23</f>
        <v>168759.24942000001</v>
      </c>
      <c r="S23" s="662">
        <f t="shared" si="12"/>
        <v>0</v>
      </c>
      <c r="T23" s="662">
        <f t="shared" si="12"/>
        <v>0</v>
      </c>
      <c r="U23" s="662">
        <f t="shared" si="12"/>
        <v>0</v>
      </c>
      <c r="V23" s="662">
        <f t="shared" si="12"/>
        <v>0</v>
      </c>
      <c r="W23" s="663">
        <f t="shared" si="12"/>
        <v>0</v>
      </c>
      <c r="X23" s="698">
        <f>SUM(R23:W23)</f>
        <v>168759.24942000001</v>
      </c>
      <c r="Y23" s="699"/>
      <c r="Z23" s="700"/>
      <c r="AA23" s="45"/>
    </row>
    <row r="24" spans="1:27" s="2" customFormat="1" ht="11.25" customHeight="1" x14ac:dyDescent="0.2">
      <c r="A24" s="39"/>
      <c r="B24" s="462" t="str">
        <f>tarifs!$B$31</f>
        <v>part salariale</v>
      </c>
      <c r="C24" s="18"/>
      <c r="D24" s="639">
        <f>'BS 2015'!$K$35*tarifs!$D$31</f>
        <v>224241.74238000001</v>
      </c>
      <c r="E24" s="640"/>
      <c r="F24" s="640"/>
      <c r="G24" s="640"/>
      <c r="H24" s="640"/>
      <c r="I24" s="641"/>
      <c r="J24" s="98"/>
      <c r="K24" s="639">
        <f>'BS 2015'!$K$35*tarifs!$K$31</f>
        <v>291283.08804</v>
      </c>
      <c r="L24" s="640"/>
      <c r="M24" s="640"/>
      <c r="N24" s="640"/>
      <c r="O24" s="640"/>
      <c r="P24" s="641"/>
      <c r="Q24" s="98"/>
      <c r="R24" s="639">
        <f t="shared" si="12"/>
        <v>67041.345659999992</v>
      </c>
      <c r="S24" s="640">
        <f t="shared" si="12"/>
        <v>0</v>
      </c>
      <c r="T24" s="640">
        <f t="shared" si="12"/>
        <v>0</v>
      </c>
      <c r="U24" s="640">
        <f t="shared" si="12"/>
        <v>0</v>
      </c>
      <c r="V24" s="640">
        <f t="shared" si="12"/>
        <v>0</v>
      </c>
      <c r="W24" s="641">
        <f t="shared" si="12"/>
        <v>0</v>
      </c>
      <c r="X24" s="701">
        <f>SUM(R24:W24)</f>
        <v>67041.345659999992</v>
      </c>
      <c r="Y24" s="702"/>
      <c r="Z24" s="703"/>
      <c r="AA24" s="45"/>
    </row>
    <row r="25" spans="1:27" s="2" customFormat="1" ht="11.25" customHeight="1" x14ac:dyDescent="0.2">
      <c r="A25" s="39"/>
      <c r="B25" s="463"/>
      <c r="C25" s="18"/>
      <c r="D25" s="446">
        <f>D24/D23</f>
        <v>0.4</v>
      </c>
      <c r="E25" s="447"/>
      <c r="F25" s="447"/>
      <c r="G25" s="447"/>
      <c r="H25" s="447"/>
      <c r="I25" s="448"/>
      <c r="J25" s="24"/>
      <c r="K25" s="446">
        <f>K24/K23</f>
        <v>0.39936608557844688</v>
      </c>
      <c r="L25" s="447"/>
      <c r="M25" s="447"/>
      <c r="N25" s="447"/>
      <c r="O25" s="447"/>
      <c r="P25" s="448"/>
      <c r="Q25" s="24"/>
      <c r="R25" s="446">
        <f>R24/R23</f>
        <v>0.39726027397260266</v>
      </c>
      <c r="S25" s="447"/>
      <c r="T25" s="447"/>
      <c r="U25" s="447"/>
      <c r="V25" s="447"/>
      <c r="W25" s="448"/>
      <c r="X25" s="716">
        <f>X24/X23</f>
        <v>0.39726027397260266</v>
      </c>
      <c r="Y25" s="717"/>
      <c r="Z25" s="718"/>
      <c r="AA25" s="45"/>
    </row>
    <row r="26" spans="1:27" s="2" customFormat="1" ht="11.25" customHeight="1" x14ac:dyDescent="0.2">
      <c r="A26" s="39"/>
      <c r="B26" s="464" t="str">
        <f>tarifs!$B$33</f>
        <v>part patronale</v>
      </c>
      <c r="C26" s="18"/>
      <c r="D26" s="642">
        <f>'BS 2015'!$K$35*tarifs!$D$33</f>
        <v>336362.61356999999</v>
      </c>
      <c r="E26" s="643"/>
      <c r="F26" s="643"/>
      <c r="G26" s="643"/>
      <c r="H26" s="643"/>
      <c r="I26" s="644"/>
      <c r="J26" s="98"/>
      <c r="K26" s="642">
        <f>'BS 2015'!$K$35*tarifs!$K$33</f>
        <v>438080.51733</v>
      </c>
      <c r="L26" s="643"/>
      <c r="M26" s="643"/>
      <c r="N26" s="643"/>
      <c r="O26" s="643"/>
      <c r="P26" s="644"/>
      <c r="Q26" s="98"/>
      <c r="R26" s="642">
        <f t="shared" ref="R26:W26" si="13">K26-D26</f>
        <v>101717.90376000002</v>
      </c>
      <c r="S26" s="643">
        <f t="shared" si="13"/>
        <v>0</v>
      </c>
      <c r="T26" s="643">
        <f t="shared" si="13"/>
        <v>0</v>
      </c>
      <c r="U26" s="643">
        <f t="shared" si="13"/>
        <v>0</v>
      </c>
      <c r="V26" s="643">
        <f t="shared" si="13"/>
        <v>0</v>
      </c>
      <c r="W26" s="644">
        <f t="shared" si="13"/>
        <v>0</v>
      </c>
      <c r="X26" s="704">
        <f>SUM(R26:W26)</f>
        <v>101717.90376000002</v>
      </c>
      <c r="Y26" s="705"/>
      <c r="Z26" s="706"/>
      <c r="AA26" s="45"/>
    </row>
    <row r="27" spans="1:27" s="2" customFormat="1" ht="11.25" customHeight="1" x14ac:dyDescent="0.2">
      <c r="A27" s="39"/>
      <c r="B27" s="465"/>
      <c r="C27" s="18"/>
      <c r="D27" s="452">
        <f>D26/D23</f>
        <v>0.6</v>
      </c>
      <c r="E27" s="453"/>
      <c r="F27" s="453"/>
      <c r="G27" s="453"/>
      <c r="H27" s="453"/>
      <c r="I27" s="454"/>
      <c r="J27" s="24"/>
      <c r="K27" s="452">
        <f>K26/K23</f>
        <v>0.60063391442155312</v>
      </c>
      <c r="L27" s="453"/>
      <c r="M27" s="453"/>
      <c r="N27" s="453"/>
      <c r="O27" s="453"/>
      <c r="P27" s="454"/>
      <c r="Q27" s="24"/>
      <c r="R27" s="452">
        <f>R26/R23</f>
        <v>0.60273972602739734</v>
      </c>
      <c r="S27" s="453"/>
      <c r="T27" s="453"/>
      <c r="U27" s="453"/>
      <c r="V27" s="453"/>
      <c r="W27" s="454"/>
      <c r="X27" s="710">
        <f>X26/X23</f>
        <v>0.60273972602739734</v>
      </c>
      <c r="Y27" s="711"/>
      <c r="Z27" s="712"/>
      <c r="AA27" s="45"/>
    </row>
    <row r="28" spans="1:27" s="2" customFormat="1" ht="5.0999999999999996" customHeight="1" x14ac:dyDescent="0.2">
      <c r="A28" s="11"/>
      <c r="B28" s="440"/>
      <c r="C28" s="11"/>
      <c r="D28" s="13"/>
      <c r="E28" s="13"/>
      <c r="F28" s="13"/>
      <c r="G28" s="13"/>
      <c r="H28" s="13"/>
      <c r="I28" s="13"/>
      <c r="J28" s="13"/>
      <c r="K28" s="13"/>
      <c r="L28" s="13"/>
      <c r="M28" s="13"/>
      <c r="N28" s="13"/>
      <c r="O28" s="13"/>
      <c r="P28" s="13"/>
      <c r="Q28" s="13"/>
      <c r="R28" s="216"/>
      <c r="S28" s="216"/>
      <c r="T28" s="216"/>
      <c r="U28" s="216"/>
      <c r="V28" s="216"/>
      <c r="W28" s="216"/>
      <c r="X28" s="84"/>
      <c r="Y28" s="84"/>
      <c r="Z28" s="84"/>
      <c r="AA28" s="216"/>
    </row>
    <row r="29" spans="1:27" s="2" customFormat="1" ht="11.25" customHeight="1" x14ac:dyDescent="0.2">
      <c r="A29" s="10"/>
      <c r="B29" s="777" t="str">
        <f>tarifs!$B$42</f>
        <v>légende couleurs</v>
      </c>
      <c r="C29" s="98"/>
      <c r="D29" s="658"/>
      <c r="E29" s="659"/>
      <c r="F29" s="659"/>
      <c r="G29" s="659"/>
      <c r="H29" s="659"/>
      <c r="I29" s="660"/>
      <c r="J29" s="30"/>
      <c r="K29" s="780" t="str">
        <f>tarifs!$K$42</f>
        <v>les taux 2016 seront modifiés en 2017 !</v>
      </c>
      <c r="L29" s="781"/>
      <c r="M29" s="781"/>
      <c r="N29" s="781"/>
      <c r="O29" s="781"/>
      <c r="P29" s="782"/>
      <c r="Q29" s="31"/>
      <c r="R29" s="645" t="s">
        <v>56</v>
      </c>
      <c r="S29" s="646"/>
      <c r="T29" s="646"/>
      <c r="U29" s="646"/>
      <c r="V29" s="646"/>
      <c r="W29" s="646"/>
      <c r="X29" s="647">
        <f>SUM(X13,X18,X23)</f>
        <v>-422610.77566000039</v>
      </c>
      <c r="Y29" s="648"/>
      <c r="Z29" s="649"/>
      <c r="AA29" s="214"/>
    </row>
    <row r="30" spans="1:27" s="2" customFormat="1" ht="11.25" customHeight="1" x14ac:dyDescent="0.2">
      <c r="A30" s="10"/>
      <c r="B30" s="778"/>
      <c r="C30" s="10"/>
      <c r="D30" s="787" t="str">
        <f>tarifs!$R$42</f>
        <v>évolution part salariale santé = 25% évolution forfait</v>
      </c>
      <c r="E30" s="788"/>
      <c r="F30" s="788"/>
      <c r="G30" s="788"/>
      <c r="H30" s="788"/>
      <c r="I30" s="789"/>
      <c r="J30" s="53"/>
      <c r="K30" s="787" t="str">
        <f>tarifs!$R$42</f>
        <v>évolution part salariale santé = 25% évolution forfait</v>
      </c>
      <c r="L30" s="788"/>
      <c r="M30" s="788"/>
      <c r="N30" s="788"/>
      <c r="O30" s="788"/>
      <c r="P30" s="789"/>
      <c r="Q30" s="53"/>
      <c r="R30" s="650" t="s">
        <v>29</v>
      </c>
      <c r="S30" s="651"/>
      <c r="T30" s="651"/>
      <c r="U30" s="651"/>
      <c r="V30" s="651"/>
      <c r="W30" s="651"/>
      <c r="X30" s="707">
        <f>SUM(X14,X19,X24)</f>
        <v>-11553.608540000365</v>
      </c>
      <c r="Y30" s="708"/>
      <c r="Z30" s="709"/>
      <c r="AA30" s="214"/>
    </row>
    <row r="31" spans="1:27" s="2" customFormat="1" ht="11.25" customHeight="1" x14ac:dyDescent="0.2">
      <c r="A31" s="10"/>
      <c r="B31" s="779"/>
      <c r="D31" s="689" t="s">
        <v>57</v>
      </c>
      <c r="E31" s="690"/>
      <c r="F31" s="690"/>
      <c r="G31" s="690"/>
      <c r="H31" s="690"/>
      <c r="I31" s="691"/>
      <c r="J31" s="100"/>
      <c r="K31" s="689" t="s">
        <v>58</v>
      </c>
      <c r="L31" s="690"/>
      <c r="M31" s="690"/>
      <c r="N31" s="690"/>
      <c r="O31" s="690"/>
      <c r="P31" s="691"/>
      <c r="Q31" s="100"/>
      <c r="R31" s="652"/>
      <c r="S31" s="653"/>
      <c r="T31" s="653"/>
      <c r="U31" s="653"/>
      <c r="V31" s="653"/>
      <c r="W31" s="653"/>
      <c r="X31" s="683">
        <f>X30/X29</f>
        <v>2.7338651083746845E-2</v>
      </c>
      <c r="Y31" s="684"/>
      <c r="Z31" s="685"/>
      <c r="AA31" s="214"/>
    </row>
    <row r="32" spans="1:27" s="2" customFormat="1" ht="11.25" customHeight="1" x14ac:dyDescent="0.2">
      <c r="A32" s="10"/>
      <c r="D32" s="100"/>
      <c r="E32" s="100"/>
      <c r="F32" s="100"/>
      <c r="G32" s="100"/>
      <c r="H32" s="100"/>
      <c r="I32" s="100"/>
      <c r="J32" s="100"/>
      <c r="K32" s="100"/>
      <c r="L32" s="100"/>
      <c r="M32" s="100"/>
      <c r="N32" s="100"/>
      <c r="O32" s="100"/>
      <c r="P32" s="100"/>
      <c r="Q32" s="100"/>
      <c r="R32" s="754" t="s">
        <v>7</v>
      </c>
      <c r="S32" s="755"/>
      <c r="T32" s="755"/>
      <c r="U32" s="755"/>
      <c r="V32" s="755"/>
      <c r="W32" s="755"/>
      <c r="X32" s="758">
        <f>SUM(X16,X21,X26)</f>
        <v>-409045.11233000003</v>
      </c>
      <c r="Y32" s="759"/>
      <c r="Z32" s="760"/>
      <c r="AA32" s="214"/>
    </row>
    <row r="33" spans="1:27" s="2" customFormat="1" ht="11.25" customHeight="1" x14ac:dyDescent="0.2">
      <c r="A33" s="10"/>
      <c r="D33" s="100"/>
      <c r="E33" s="100"/>
      <c r="F33" s="100"/>
      <c r="G33" s="100"/>
      <c r="H33" s="100"/>
      <c r="I33" s="100"/>
      <c r="J33" s="98"/>
      <c r="K33" s="100"/>
      <c r="L33" s="100"/>
      <c r="M33" s="100"/>
      <c r="N33" s="100"/>
      <c r="O33" s="100"/>
      <c r="P33" s="100"/>
      <c r="Q33" s="100"/>
      <c r="R33" s="756"/>
      <c r="S33" s="757"/>
      <c r="T33" s="757"/>
      <c r="U33" s="757"/>
      <c r="V33" s="757"/>
      <c r="W33" s="757"/>
      <c r="X33" s="710">
        <f>X32/X29</f>
        <v>0.96790033735222536</v>
      </c>
      <c r="Y33" s="711"/>
      <c r="Z33" s="712"/>
      <c r="AA33" s="214"/>
    </row>
    <row r="34" spans="1:27" s="2" customFormat="1" ht="5.0999999999999996" customHeight="1" thickBot="1" x14ac:dyDescent="0.25">
      <c r="A34" s="11"/>
      <c r="B34" s="29"/>
      <c r="C34" s="10"/>
      <c r="D34" s="98"/>
      <c r="E34" s="98"/>
      <c r="F34" s="98"/>
      <c r="G34" s="98"/>
      <c r="H34" s="98"/>
      <c r="I34" s="98"/>
      <c r="J34" s="98"/>
      <c r="K34" s="100"/>
      <c r="L34" s="100"/>
      <c r="M34" s="100"/>
      <c r="N34" s="100"/>
      <c r="O34" s="100"/>
      <c r="P34" s="100"/>
      <c r="Q34" s="100"/>
      <c r="R34" s="51"/>
      <c r="S34" s="51"/>
      <c r="T34" s="51"/>
      <c r="U34" s="51"/>
      <c r="V34" s="51"/>
      <c r="W34" s="51"/>
      <c r="X34" s="93"/>
      <c r="Y34" s="93"/>
      <c r="Z34" s="93"/>
      <c r="AA34" s="216"/>
    </row>
    <row r="35" spans="1:27" s="2" customFormat="1" ht="11.25" customHeight="1" x14ac:dyDescent="0.2">
      <c r="A35" s="29"/>
      <c r="D35" s="98"/>
      <c r="E35" s="98"/>
      <c r="F35" s="98"/>
      <c r="G35" s="98"/>
      <c r="H35" s="98"/>
      <c r="I35" s="98"/>
      <c r="J35" s="98"/>
      <c r="K35" s="100"/>
      <c r="L35" s="100"/>
      <c r="M35" s="100"/>
      <c r="N35" s="100"/>
      <c r="O35" s="100"/>
      <c r="P35" s="100"/>
      <c r="Q35" s="100"/>
      <c r="R35" s="645" t="s">
        <v>59</v>
      </c>
      <c r="S35" s="761"/>
      <c r="T35" s="761"/>
      <c r="U35" s="761"/>
      <c r="V35" s="761"/>
      <c r="W35" s="761"/>
      <c r="X35" s="762">
        <f>SUM(X5,X29)</f>
        <v>-2173762.73565999</v>
      </c>
      <c r="Y35" s="763"/>
      <c r="Z35" s="764"/>
      <c r="AA35" s="32"/>
    </row>
    <row r="36" spans="1:27" s="11" customFormat="1" ht="11.25" customHeight="1" x14ac:dyDescent="0.2">
      <c r="A36" s="98"/>
      <c r="D36" s="98"/>
      <c r="E36" s="98"/>
      <c r="F36" s="98"/>
      <c r="G36" s="98"/>
      <c r="H36" s="98"/>
      <c r="I36" s="98"/>
      <c r="J36" s="98"/>
      <c r="K36" s="100"/>
      <c r="L36" s="100"/>
      <c r="M36" s="100"/>
      <c r="N36" s="100"/>
      <c r="O36" s="100"/>
      <c r="P36" s="100"/>
      <c r="Q36" s="100"/>
      <c r="R36" s="765" t="s">
        <v>29</v>
      </c>
      <c r="S36" s="766"/>
      <c r="T36" s="766"/>
      <c r="U36" s="766"/>
      <c r="V36" s="766"/>
      <c r="W36" s="766"/>
      <c r="X36" s="769">
        <f>SUM(X6,X30)</f>
        <v>-464172.1510074957</v>
      </c>
      <c r="Y36" s="770"/>
      <c r="Z36" s="771"/>
      <c r="AA36" s="32"/>
    </row>
    <row r="37" spans="1:27" ht="11.25" customHeight="1" x14ac:dyDescent="0.2">
      <c r="A37" s="98"/>
      <c r="K37" s="100"/>
      <c r="L37" s="100"/>
      <c r="M37" s="100"/>
      <c r="N37" s="100"/>
      <c r="O37" s="100"/>
      <c r="P37" s="100"/>
      <c r="Q37" s="100"/>
      <c r="R37" s="767"/>
      <c r="S37" s="768"/>
      <c r="T37" s="768"/>
      <c r="U37" s="768"/>
      <c r="V37" s="768"/>
      <c r="W37" s="768"/>
      <c r="X37" s="772">
        <f>X36/X35</f>
        <v>0.21353395354188251</v>
      </c>
      <c r="Y37" s="773"/>
      <c r="Z37" s="774"/>
      <c r="AA37" s="32"/>
    </row>
    <row r="38" spans="1:27" ht="11.25" customHeight="1" x14ac:dyDescent="0.2">
      <c r="K38" s="100"/>
      <c r="L38" s="100"/>
      <c r="M38" s="100"/>
      <c r="N38" s="100"/>
      <c r="O38" s="100"/>
      <c r="P38" s="100"/>
      <c r="Q38" s="100"/>
      <c r="R38" s="744" t="s">
        <v>7</v>
      </c>
      <c r="S38" s="745"/>
      <c r="T38" s="745"/>
      <c r="U38" s="745"/>
      <c r="V38" s="745"/>
      <c r="W38" s="745"/>
      <c r="X38" s="748">
        <f>SUM(X8,X32)</f>
        <v>-1707578.5298624905</v>
      </c>
      <c r="Y38" s="749"/>
      <c r="Z38" s="750"/>
      <c r="AA38" s="214"/>
    </row>
    <row r="39" spans="1:27" ht="11.25" customHeight="1" x14ac:dyDescent="0.2">
      <c r="K39" s="100"/>
      <c r="L39" s="100"/>
      <c r="M39" s="100"/>
      <c r="N39" s="100"/>
      <c r="O39" s="100"/>
      <c r="P39" s="100"/>
      <c r="Q39" s="100"/>
      <c r="R39" s="746"/>
      <c r="S39" s="747"/>
      <c r="T39" s="747"/>
      <c r="U39" s="747"/>
      <c r="V39" s="747"/>
      <c r="W39" s="747"/>
      <c r="X39" s="751">
        <f>X38/X35</f>
        <v>0.78554043725661793</v>
      </c>
      <c r="Y39" s="752"/>
      <c r="Z39" s="753"/>
      <c r="AA39" s="214"/>
    </row>
    <row r="40" spans="1:27" ht="11.25" customHeight="1" thickBot="1" x14ac:dyDescent="0.25">
      <c r="K40" s="100"/>
      <c r="L40" s="100"/>
      <c r="M40" s="100"/>
      <c r="N40" s="100"/>
      <c r="O40" s="100"/>
      <c r="P40" s="100"/>
      <c r="Q40" s="100"/>
      <c r="R40" s="739" t="s">
        <v>60</v>
      </c>
      <c r="S40" s="740"/>
      <c r="T40" s="740"/>
      <c r="U40" s="740"/>
      <c r="V40" s="740"/>
      <c r="W40" s="740"/>
      <c r="X40" s="741">
        <f>X38*5</f>
        <v>-8537892.6493124515</v>
      </c>
      <c r="Y40" s="742"/>
      <c r="Z40" s="743"/>
      <c r="AA40" s="214"/>
    </row>
    <row r="41" spans="1:27" ht="11.25" customHeight="1" x14ac:dyDescent="0.2">
      <c r="K41" s="100"/>
      <c r="L41" s="100"/>
      <c r="M41" s="100"/>
      <c r="N41" s="100"/>
      <c r="O41" s="100"/>
      <c r="P41" s="100"/>
      <c r="Q41" s="100"/>
    </row>
    <row r="42" spans="1:27" s="11" customFormat="1" ht="11.25" customHeight="1" x14ac:dyDescent="0.2">
      <c r="A42" s="10"/>
      <c r="D42" s="98"/>
      <c r="E42" s="98"/>
      <c r="F42" s="98"/>
      <c r="G42" s="98"/>
      <c r="H42" s="98"/>
      <c r="I42" s="98"/>
      <c r="J42" s="98"/>
      <c r="K42" s="100"/>
      <c r="L42" s="100"/>
      <c r="M42" s="100"/>
      <c r="N42" s="100"/>
      <c r="O42" s="100"/>
      <c r="P42" s="100"/>
      <c r="Q42" s="100"/>
      <c r="R42" s="214"/>
      <c r="S42" s="47"/>
      <c r="T42" s="214"/>
      <c r="U42" s="214"/>
      <c r="V42" s="214"/>
      <c r="W42" s="34"/>
      <c r="X42" s="185"/>
      <c r="Y42" s="86"/>
      <c r="Z42" s="84"/>
      <c r="AA42" s="216"/>
    </row>
    <row r="43" spans="1:27" s="32" customFormat="1" ht="11.25" customHeight="1" x14ac:dyDescent="0.2">
      <c r="A43" s="10"/>
      <c r="B43" s="34"/>
      <c r="C43" s="10"/>
      <c r="D43" s="98"/>
      <c r="E43" s="98"/>
      <c r="F43" s="98"/>
      <c r="G43" s="98"/>
      <c r="H43" s="98"/>
      <c r="I43" s="98"/>
      <c r="J43" s="98"/>
      <c r="K43" s="100"/>
      <c r="L43" s="100"/>
      <c r="M43" s="100"/>
      <c r="N43" s="100"/>
      <c r="O43" s="100"/>
      <c r="P43" s="100"/>
      <c r="Q43" s="100"/>
      <c r="R43" s="214"/>
      <c r="S43" s="47"/>
      <c r="T43" s="214"/>
      <c r="U43" s="214"/>
      <c r="V43" s="214"/>
      <c r="W43" s="34"/>
      <c r="X43" s="185"/>
      <c r="Y43" s="86"/>
      <c r="Z43" s="84"/>
      <c r="AA43" s="216"/>
    </row>
    <row r="44" spans="1:27" s="43" customFormat="1" ht="11.25" customHeight="1" x14ac:dyDescent="0.2">
      <c r="A44" s="10"/>
      <c r="B44" s="34"/>
      <c r="C44" s="10"/>
      <c r="D44" s="98"/>
      <c r="E44" s="98"/>
      <c r="F44" s="98"/>
      <c r="G44" s="98"/>
      <c r="H44" s="98"/>
      <c r="I44" s="98"/>
      <c r="J44" s="98"/>
      <c r="K44" s="100"/>
      <c r="L44" s="100"/>
      <c r="M44" s="100"/>
      <c r="N44" s="100"/>
      <c r="O44" s="100"/>
      <c r="P44" s="100"/>
      <c r="Q44" s="100"/>
      <c r="R44" s="214"/>
      <c r="S44" s="47"/>
      <c r="T44" s="214"/>
      <c r="U44" s="214"/>
      <c r="V44" s="214"/>
      <c r="W44" s="34"/>
      <c r="X44" s="185"/>
      <c r="Y44" s="86"/>
      <c r="Z44" s="84"/>
      <c r="AA44" s="216"/>
    </row>
    <row r="45" spans="1:27" s="43" customFormat="1" ht="11.25" customHeight="1" x14ac:dyDescent="0.2">
      <c r="A45" s="10"/>
      <c r="B45" s="34"/>
      <c r="C45" s="10"/>
      <c r="D45" s="98"/>
      <c r="E45" s="98"/>
      <c r="F45" s="98"/>
      <c r="G45" s="98"/>
      <c r="H45" s="98"/>
      <c r="I45" s="98"/>
      <c r="J45" s="98"/>
      <c r="K45" s="100"/>
      <c r="L45" s="100"/>
      <c r="M45" s="100"/>
      <c r="N45" s="100"/>
      <c r="O45" s="100"/>
      <c r="P45" s="100"/>
      <c r="Q45" s="100"/>
      <c r="R45" s="214"/>
      <c r="S45" s="47"/>
      <c r="T45" s="214"/>
      <c r="U45" s="214"/>
      <c r="V45" s="214"/>
      <c r="W45" s="34"/>
      <c r="X45" s="185"/>
      <c r="Y45" s="86"/>
      <c r="Z45" s="84"/>
      <c r="AA45" s="216"/>
    </row>
    <row r="46" spans="1:27" s="43" customFormat="1" ht="11.25" customHeight="1" x14ac:dyDescent="0.2">
      <c r="A46" s="10"/>
      <c r="B46" s="34"/>
      <c r="C46" s="10"/>
      <c r="D46" s="98"/>
      <c r="E46" s="98"/>
      <c r="F46" s="98"/>
      <c r="G46" s="98"/>
      <c r="H46" s="98"/>
      <c r="I46" s="98"/>
      <c r="J46" s="98"/>
      <c r="Q46" s="100"/>
      <c r="R46" s="214"/>
      <c r="S46" s="47"/>
      <c r="T46" s="214"/>
      <c r="U46" s="214"/>
      <c r="V46" s="214"/>
      <c r="W46" s="34"/>
      <c r="X46" s="185"/>
      <c r="Y46" s="86"/>
      <c r="Z46" s="84"/>
      <c r="AA46" s="216"/>
    </row>
    <row r="47" spans="1:27" x14ac:dyDescent="0.2">
      <c r="Q47" s="100"/>
    </row>
    <row r="48" spans="1:27" ht="11.25" customHeight="1" x14ac:dyDescent="0.2">
      <c r="K48" s="100"/>
      <c r="L48" s="100"/>
      <c r="M48" s="100"/>
      <c r="N48" s="100"/>
      <c r="O48" s="100"/>
      <c r="P48" s="100"/>
      <c r="Q48" s="100"/>
    </row>
    <row r="49" spans="11:27" ht="11.25" customHeight="1" x14ac:dyDescent="0.2">
      <c r="K49" s="100"/>
      <c r="L49" s="100"/>
      <c r="M49" s="100"/>
      <c r="N49" s="100"/>
      <c r="O49" s="100"/>
      <c r="P49" s="100"/>
      <c r="Q49" s="100"/>
    </row>
    <row r="50" spans="11:27" ht="11.25" customHeight="1" x14ac:dyDescent="0.2">
      <c r="K50" s="100"/>
      <c r="L50" s="100"/>
      <c r="M50" s="100"/>
      <c r="N50" s="100"/>
      <c r="O50" s="100"/>
      <c r="P50" s="100"/>
      <c r="Q50" s="100"/>
    </row>
    <row r="51" spans="11:27" x14ac:dyDescent="0.2">
      <c r="K51" s="100"/>
      <c r="L51" s="100"/>
      <c r="M51" s="100"/>
      <c r="N51" s="100"/>
      <c r="O51" s="100"/>
      <c r="P51" s="100"/>
      <c r="Q51" s="100"/>
    </row>
    <row r="52" spans="11:27" x14ac:dyDescent="0.2">
      <c r="K52" s="100"/>
      <c r="L52" s="100"/>
      <c r="M52" s="100"/>
      <c r="N52" s="100"/>
      <c r="O52" s="100"/>
      <c r="P52" s="100"/>
      <c r="Q52" s="100"/>
    </row>
    <row r="53" spans="11:27" x14ac:dyDescent="0.2">
      <c r="K53" s="100"/>
      <c r="L53" s="100"/>
      <c r="M53" s="100"/>
      <c r="N53" s="100"/>
      <c r="O53" s="100"/>
      <c r="P53" s="100"/>
      <c r="Q53" s="100"/>
    </row>
    <row r="54" spans="11:27" x14ac:dyDescent="0.2">
      <c r="K54" s="100"/>
      <c r="L54" s="100"/>
      <c r="M54" s="100"/>
      <c r="N54" s="100"/>
      <c r="O54" s="100"/>
      <c r="P54" s="100"/>
      <c r="Q54" s="100"/>
    </row>
    <row r="55" spans="11:27" x14ac:dyDescent="0.2">
      <c r="K55" s="100"/>
      <c r="L55" s="100"/>
      <c r="M55" s="100"/>
      <c r="N55" s="100"/>
      <c r="O55" s="100"/>
      <c r="P55" s="100"/>
      <c r="Q55" s="100"/>
    </row>
    <row r="56" spans="11:27" x14ac:dyDescent="0.2">
      <c r="K56" s="100"/>
      <c r="L56" s="100"/>
      <c r="M56" s="100"/>
      <c r="N56" s="100"/>
      <c r="O56" s="100"/>
      <c r="P56" s="100"/>
      <c r="Q56" s="100"/>
    </row>
    <row r="57" spans="11:27" x14ac:dyDescent="0.2">
      <c r="K57" s="100"/>
      <c r="L57" s="100"/>
      <c r="M57" s="100"/>
      <c r="N57" s="100"/>
      <c r="O57" s="100"/>
      <c r="P57" s="100"/>
      <c r="Q57" s="100"/>
    </row>
    <row r="58" spans="11:27" x14ac:dyDescent="0.2">
      <c r="K58" s="100"/>
      <c r="L58" s="100"/>
      <c r="M58" s="100"/>
      <c r="N58" s="100"/>
      <c r="O58" s="100"/>
      <c r="P58" s="100"/>
      <c r="Q58" s="100"/>
    </row>
    <row r="59" spans="11:27" ht="11.25" customHeight="1" x14ac:dyDescent="0.2">
      <c r="K59" s="100"/>
      <c r="L59" s="100"/>
      <c r="M59" s="100"/>
      <c r="N59" s="100"/>
      <c r="O59" s="100"/>
      <c r="P59" s="100"/>
      <c r="Q59" s="100"/>
    </row>
    <row r="60" spans="11:27" ht="11.25" customHeight="1" x14ac:dyDescent="0.2">
      <c r="K60" s="100"/>
      <c r="L60" s="100"/>
      <c r="M60" s="100"/>
      <c r="N60" s="100"/>
      <c r="O60" s="100"/>
      <c r="P60" s="100"/>
      <c r="Q60" s="100"/>
      <c r="X60" s="186"/>
      <c r="Y60" s="186"/>
      <c r="Z60" s="186"/>
    </row>
    <row r="61" spans="11:27" x14ac:dyDescent="0.2">
      <c r="K61" s="100"/>
      <c r="L61" s="100"/>
      <c r="M61" s="100"/>
      <c r="N61" s="100"/>
      <c r="O61" s="100"/>
      <c r="P61" s="100"/>
      <c r="Q61" s="100"/>
      <c r="X61" s="186"/>
      <c r="Y61" s="186"/>
      <c r="Z61" s="186"/>
    </row>
    <row r="62" spans="11:27" x14ac:dyDescent="0.2">
      <c r="K62" s="100"/>
      <c r="L62" s="100"/>
      <c r="M62" s="100"/>
      <c r="N62" s="100"/>
      <c r="O62" s="100"/>
      <c r="P62" s="100"/>
      <c r="Q62" s="100"/>
    </row>
    <row r="63" spans="11:27" x14ac:dyDescent="0.2">
      <c r="K63" s="100"/>
      <c r="L63" s="100"/>
      <c r="M63" s="100"/>
      <c r="N63" s="100"/>
      <c r="O63" s="100"/>
      <c r="P63" s="100"/>
      <c r="Q63" s="100"/>
      <c r="R63" s="11"/>
      <c r="S63" s="11"/>
      <c r="T63" s="11"/>
      <c r="U63" s="11"/>
      <c r="V63" s="65"/>
      <c r="W63" s="65"/>
      <c r="AA63" s="65"/>
    </row>
    <row r="64" spans="11:27" x14ac:dyDescent="0.2">
      <c r="K64" s="100"/>
      <c r="L64" s="100"/>
      <c r="M64" s="100"/>
      <c r="N64" s="100"/>
      <c r="O64" s="100"/>
      <c r="P64" s="100"/>
      <c r="Q64" s="100"/>
      <c r="R64" s="32"/>
      <c r="S64" s="32"/>
      <c r="T64" s="32"/>
      <c r="U64" s="32"/>
      <c r="V64" s="65"/>
      <c r="W64" s="65"/>
      <c r="AA64" s="65"/>
    </row>
    <row r="65" spans="11:17" x14ac:dyDescent="0.2">
      <c r="K65" s="100"/>
      <c r="L65" s="100"/>
      <c r="M65" s="100"/>
      <c r="N65" s="100"/>
      <c r="O65" s="100"/>
      <c r="P65" s="100"/>
      <c r="Q65" s="100"/>
    </row>
    <row r="66" spans="11:17" x14ac:dyDescent="0.2">
      <c r="K66" s="100"/>
      <c r="L66" s="100"/>
      <c r="M66" s="100"/>
      <c r="N66" s="100"/>
      <c r="O66" s="100"/>
      <c r="P66" s="100"/>
      <c r="Q66" s="100"/>
    </row>
    <row r="67" spans="11:17" x14ac:dyDescent="0.2">
      <c r="K67" s="100"/>
      <c r="L67" s="100"/>
      <c r="M67" s="100"/>
      <c r="N67" s="100"/>
      <c r="O67" s="100"/>
      <c r="P67" s="100"/>
      <c r="Q67" s="100"/>
    </row>
    <row r="68" spans="11:17" x14ac:dyDescent="0.2">
      <c r="K68" s="100"/>
      <c r="L68" s="100"/>
      <c r="M68" s="100"/>
      <c r="N68" s="100"/>
      <c r="O68" s="100"/>
      <c r="P68" s="100"/>
      <c r="Q68" s="100"/>
    </row>
    <row r="69" spans="11:17" ht="11.25" customHeight="1" x14ac:dyDescent="0.2">
      <c r="K69" s="100"/>
      <c r="L69" s="100"/>
      <c r="M69" s="100"/>
      <c r="N69" s="100"/>
      <c r="O69" s="100"/>
      <c r="P69" s="100"/>
      <c r="Q69" s="100"/>
    </row>
    <row r="70" spans="11:17" x14ac:dyDescent="0.2">
      <c r="K70" s="100"/>
      <c r="L70" s="100"/>
      <c r="M70" s="100"/>
      <c r="N70" s="100"/>
      <c r="O70" s="100"/>
      <c r="P70" s="100"/>
      <c r="Q70" s="100"/>
    </row>
    <row r="71" spans="11:17" x14ac:dyDescent="0.2">
      <c r="K71" s="100"/>
      <c r="L71" s="100"/>
      <c r="M71" s="100"/>
      <c r="N71" s="100"/>
      <c r="O71" s="100"/>
      <c r="P71" s="100"/>
      <c r="Q71" s="100"/>
    </row>
    <row r="72" spans="11:17" x14ac:dyDescent="0.2">
      <c r="K72" s="100"/>
      <c r="L72" s="100"/>
      <c r="M72" s="100"/>
      <c r="N72" s="100"/>
      <c r="O72" s="100"/>
      <c r="P72" s="100"/>
      <c r="Q72" s="100"/>
    </row>
    <row r="73" spans="11:17" x14ac:dyDescent="0.2">
      <c r="K73" s="100"/>
      <c r="L73" s="100"/>
      <c r="M73" s="100"/>
      <c r="N73" s="100"/>
      <c r="O73" s="100"/>
      <c r="P73" s="100"/>
      <c r="Q73" s="100"/>
    </row>
    <row r="74" spans="11:17" x14ac:dyDescent="0.2">
      <c r="K74" s="100"/>
      <c r="L74" s="100"/>
      <c r="M74" s="100"/>
      <c r="N74" s="100"/>
      <c r="O74" s="100"/>
      <c r="P74" s="100"/>
      <c r="Q74" s="100"/>
    </row>
    <row r="75" spans="11:17" x14ac:dyDescent="0.2">
      <c r="K75" s="100"/>
      <c r="L75" s="100"/>
      <c r="M75" s="100"/>
      <c r="N75" s="100"/>
      <c r="O75" s="100"/>
      <c r="P75" s="100"/>
      <c r="Q75" s="100"/>
    </row>
    <row r="76" spans="11:17" x14ac:dyDescent="0.2">
      <c r="K76" s="100"/>
      <c r="L76" s="100"/>
      <c r="M76" s="100"/>
      <c r="N76" s="100"/>
      <c r="O76" s="100"/>
      <c r="P76" s="100"/>
      <c r="Q76" s="100"/>
    </row>
    <row r="77" spans="11:17" x14ac:dyDescent="0.2">
      <c r="K77" s="100"/>
      <c r="L77" s="100"/>
      <c r="M77" s="100"/>
      <c r="N77" s="100"/>
      <c r="O77" s="100"/>
      <c r="P77" s="100"/>
      <c r="Q77" s="100"/>
    </row>
    <row r="78" spans="11:17" x14ac:dyDescent="0.2">
      <c r="K78" s="100"/>
      <c r="L78" s="100"/>
      <c r="M78" s="100"/>
      <c r="N78" s="100"/>
      <c r="O78" s="100"/>
      <c r="P78" s="100"/>
      <c r="Q78" s="100"/>
    </row>
    <row r="79" spans="11:17" x14ac:dyDescent="0.2">
      <c r="K79" s="100"/>
      <c r="L79" s="100"/>
      <c r="M79" s="100"/>
      <c r="N79" s="100"/>
      <c r="O79" s="100"/>
      <c r="P79" s="100"/>
      <c r="Q79" s="100"/>
    </row>
    <row r="80" spans="11:17" x14ac:dyDescent="0.2">
      <c r="K80" s="100"/>
      <c r="L80" s="100"/>
      <c r="M80" s="100"/>
      <c r="N80" s="100"/>
      <c r="O80" s="100"/>
      <c r="P80" s="100"/>
      <c r="Q80" s="100"/>
    </row>
    <row r="81" spans="11:17" x14ac:dyDescent="0.2">
      <c r="K81" s="100"/>
      <c r="L81" s="100"/>
      <c r="M81" s="100"/>
      <c r="N81" s="100"/>
      <c r="O81" s="100"/>
      <c r="P81" s="100"/>
      <c r="Q81" s="100"/>
    </row>
    <row r="82" spans="11:17" x14ac:dyDescent="0.2">
      <c r="K82" s="100"/>
      <c r="L82" s="100"/>
      <c r="M82" s="100"/>
      <c r="N82" s="100"/>
      <c r="O82" s="100"/>
      <c r="P82" s="100"/>
      <c r="Q82" s="100"/>
    </row>
    <row r="83" spans="11:17" x14ac:dyDescent="0.2">
      <c r="K83" s="100"/>
      <c r="L83" s="100"/>
      <c r="M83" s="100"/>
      <c r="N83" s="100"/>
      <c r="O83" s="100"/>
      <c r="P83" s="100"/>
      <c r="Q83" s="100"/>
    </row>
    <row r="84" spans="11:17" x14ac:dyDescent="0.2">
      <c r="K84" s="100"/>
      <c r="L84" s="100"/>
      <c r="M84" s="100"/>
      <c r="N84" s="100"/>
      <c r="O84" s="100"/>
      <c r="P84" s="100"/>
      <c r="Q84" s="100"/>
    </row>
    <row r="85" spans="11:17" x14ac:dyDescent="0.2">
      <c r="K85" s="100"/>
      <c r="L85" s="100"/>
      <c r="M85" s="100"/>
      <c r="N85" s="100"/>
      <c r="O85" s="100"/>
      <c r="P85" s="100"/>
      <c r="Q85" s="100"/>
    </row>
    <row r="86" spans="11:17" x14ac:dyDescent="0.2">
      <c r="K86" s="100"/>
      <c r="L86" s="100"/>
      <c r="M86" s="100"/>
      <c r="N86" s="100"/>
      <c r="O86" s="100"/>
      <c r="P86" s="100"/>
      <c r="Q86" s="100"/>
    </row>
    <row r="87" spans="11:17" x14ac:dyDescent="0.2">
      <c r="K87" s="100"/>
      <c r="L87" s="100"/>
      <c r="M87" s="100"/>
      <c r="N87" s="100"/>
      <c r="O87" s="100"/>
      <c r="P87" s="100"/>
      <c r="Q87" s="100"/>
    </row>
    <row r="88" spans="11:17" x14ac:dyDescent="0.2">
      <c r="K88" s="100"/>
      <c r="L88" s="100"/>
      <c r="M88" s="100"/>
      <c r="N88" s="100"/>
      <c r="O88" s="100"/>
      <c r="P88" s="100"/>
      <c r="Q88" s="100"/>
    </row>
    <row r="89" spans="11:17" x14ac:dyDescent="0.2">
      <c r="K89" s="100"/>
      <c r="L89" s="100"/>
      <c r="M89" s="100"/>
      <c r="N89" s="100"/>
      <c r="O89" s="100"/>
      <c r="P89" s="100"/>
      <c r="Q89" s="100"/>
    </row>
    <row r="90" spans="11:17" x14ac:dyDescent="0.2">
      <c r="K90" s="100"/>
      <c r="L90" s="100"/>
      <c r="M90" s="100"/>
      <c r="N90" s="100"/>
      <c r="O90" s="100"/>
      <c r="P90" s="100"/>
      <c r="Q90" s="100"/>
    </row>
    <row r="91" spans="11:17" x14ac:dyDescent="0.2">
      <c r="K91" s="100"/>
      <c r="L91" s="100"/>
      <c r="M91" s="100"/>
      <c r="N91" s="100"/>
      <c r="O91" s="100"/>
      <c r="P91" s="100"/>
      <c r="Q91" s="100"/>
    </row>
    <row r="92" spans="11:17" x14ac:dyDescent="0.2">
      <c r="K92" s="100"/>
      <c r="L92" s="100"/>
      <c r="M92" s="100"/>
      <c r="N92" s="100"/>
      <c r="O92" s="100"/>
      <c r="P92" s="100"/>
      <c r="Q92" s="100"/>
    </row>
    <row r="93" spans="11:17" x14ac:dyDescent="0.2">
      <c r="K93" s="100"/>
      <c r="L93" s="100"/>
      <c r="M93" s="100"/>
      <c r="N93" s="100"/>
      <c r="O93" s="100"/>
      <c r="P93" s="100"/>
      <c r="Q93" s="100"/>
    </row>
    <row r="94" spans="11:17" x14ac:dyDescent="0.2">
      <c r="M94" s="100"/>
      <c r="N94" s="100"/>
      <c r="O94" s="100"/>
      <c r="P94" s="100"/>
      <c r="Q94" s="100"/>
    </row>
    <row r="95" spans="11:17" x14ac:dyDescent="0.2">
      <c r="M95" s="100"/>
      <c r="N95" s="100"/>
      <c r="O95" s="100"/>
      <c r="P95" s="100"/>
      <c r="Q95" s="100"/>
    </row>
    <row r="96" spans="11:17" x14ac:dyDescent="0.2">
      <c r="M96" s="100"/>
      <c r="N96" s="100"/>
      <c r="O96" s="100"/>
      <c r="P96" s="100"/>
      <c r="Q96" s="100"/>
    </row>
    <row r="97" spans="13:17" x14ac:dyDescent="0.2">
      <c r="M97" s="100"/>
      <c r="N97" s="100"/>
      <c r="O97" s="100"/>
      <c r="P97" s="100"/>
      <c r="Q97" s="100"/>
    </row>
    <row r="98" spans="13:17" x14ac:dyDescent="0.2">
      <c r="M98" s="100"/>
      <c r="N98" s="100"/>
      <c r="O98" s="100"/>
      <c r="P98" s="100"/>
      <c r="Q98" s="100"/>
    </row>
    <row r="99" spans="13:17" x14ac:dyDescent="0.2">
      <c r="M99" s="100"/>
      <c r="N99" s="100"/>
      <c r="O99" s="100"/>
      <c r="P99" s="100"/>
      <c r="Q99" s="100"/>
    </row>
    <row r="100" spans="13:17" x14ac:dyDescent="0.2">
      <c r="M100" s="100"/>
      <c r="N100" s="100"/>
      <c r="O100" s="100"/>
      <c r="P100" s="100"/>
      <c r="Q100" s="100"/>
    </row>
    <row r="101" spans="13:17" x14ac:dyDescent="0.2">
      <c r="M101" s="100"/>
      <c r="N101" s="100"/>
      <c r="O101" s="100"/>
      <c r="P101" s="100"/>
      <c r="Q101" s="100"/>
    </row>
    <row r="102" spans="13:17" x14ac:dyDescent="0.2">
      <c r="M102" s="100"/>
      <c r="N102" s="100"/>
      <c r="O102" s="100"/>
      <c r="P102" s="100"/>
      <c r="Q102" s="100"/>
    </row>
    <row r="103" spans="13:17" x14ac:dyDescent="0.2">
      <c r="M103" s="100"/>
      <c r="N103" s="100"/>
      <c r="O103" s="100"/>
      <c r="P103" s="100"/>
      <c r="Q103" s="100"/>
    </row>
    <row r="104" spans="13:17" x14ac:dyDescent="0.2">
      <c r="M104" s="100"/>
      <c r="N104" s="100"/>
      <c r="O104" s="100"/>
      <c r="P104" s="100"/>
      <c r="Q104" s="100"/>
    </row>
    <row r="105" spans="13:17" x14ac:dyDescent="0.2">
      <c r="M105" s="100"/>
      <c r="N105" s="100"/>
      <c r="O105" s="100"/>
      <c r="P105" s="100"/>
      <c r="Q105" s="100"/>
    </row>
    <row r="106" spans="13:17" x14ac:dyDescent="0.2">
      <c r="M106" s="100"/>
      <c r="N106" s="100"/>
      <c r="O106" s="100"/>
      <c r="P106" s="100"/>
      <c r="Q106" s="100"/>
    </row>
    <row r="107" spans="13:17" x14ac:dyDescent="0.2">
      <c r="M107" s="100"/>
      <c r="N107" s="100"/>
      <c r="O107" s="100"/>
      <c r="P107" s="100"/>
      <c r="Q107" s="100"/>
    </row>
    <row r="108" spans="13:17" x14ac:dyDescent="0.2">
      <c r="Q108" s="100"/>
    </row>
    <row r="118" spans="18:27" x14ac:dyDescent="0.2">
      <c r="X118" s="84"/>
      <c r="Z118" s="185"/>
    </row>
    <row r="119" spans="18:27" x14ac:dyDescent="0.2">
      <c r="X119" s="84"/>
      <c r="Z119" s="185"/>
    </row>
    <row r="120" spans="18:27" x14ac:dyDescent="0.2">
      <c r="X120" s="84"/>
      <c r="Z120" s="185"/>
    </row>
    <row r="121" spans="18:27" x14ac:dyDescent="0.2">
      <c r="R121" s="216"/>
      <c r="S121" s="216"/>
      <c r="T121" s="216"/>
      <c r="U121" s="216"/>
      <c r="V121" s="216"/>
      <c r="W121" s="216"/>
      <c r="X121" s="84"/>
      <c r="Z121" s="185"/>
      <c r="AA121" s="34"/>
    </row>
    <row r="122" spans="18:27" x14ac:dyDescent="0.2">
      <c r="R122" s="216"/>
      <c r="S122" s="216"/>
      <c r="T122" s="216"/>
      <c r="U122" s="216"/>
      <c r="V122" s="216"/>
      <c r="W122" s="216"/>
      <c r="X122" s="84"/>
      <c r="Z122" s="185"/>
      <c r="AA122" s="34"/>
    </row>
    <row r="123" spans="18:27" x14ac:dyDescent="0.2">
      <c r="R123" s="216"/>
      <c r="S123" s="216"/>
      <c r="T123" s="216"/>
      <c r="U123" s="216"/>
      <c r="V123" s="216"/>
      <c r="W123" s="216"/>
      <c r="X123" s="84"/>
      <c r="Z123" s="185"/>
      <c r="AA123" s="34"/>
    </row>
    <row r="124" spans="18:27" x14ac:dyDescent="0.2">
      <c r="R124" s="216"/>
      <c r="S124" s="216"/>
      <c r="T124" s="216"/>
      <c r="U124" s="216"/>
      <c r="V124" s="216"/>
      <c r="W124" s="216"/>
      <c r="X124" s="84"/>
      <c r="Y124" s="84"/>
      <c r="Z124" s="86"/>
      <c r="AA124" s="34"/>
    </row>
    <row r="125" spans="18:27" x14ac:dyDescent="0.2">
      <c r="R125" s="216"/>
      <c r="S125" s="216"/>
      <c r="T125" s="216"/>
      <c r="U125" s="216"/>
      <c r="V125" s="216"/>
      <c r="W125" s="216"/>
      <c r="X125" s="84"/>
      <c r="Y125" s="84"/>
      <c r="Z125" s="86"/>
      <c r="AA125" s="34"/>
    </row>
    <row r="126" spans="18:27" x14ac:dyDescent="0.2">
      <c r="R126" s="216"/>
      <c r="S126" s="216"/>
      <c r="T126" s="216"/>
      <c r="U126" s="216"/>
      <c r="V126" s="216"/>
      <c r="W126" s="216"/>
      <c r="X126" s="84"/>
      <c r="Y126" s="84"/>
      <c r="Z126" s="86"/>
      <c r="AA126" s="34"/>
    </row>
    <row r="127" spans="18:27" x14ac:dyDescent="0.2">
      <c r="R127" s="216"/>
      <c r="S127" s="216"/>
      <c r="T127" s="216"/>
      <c r="U127" s="216"/>
      <c r="V127" s="216"/>
      <c r="W127" s="216"/>
      <c r="X127" s="84"/>
      <c r="Y127" s="84"/>
      <c r="Z127" s="86"/>
      <c r="AA127" s="34"/>
    </row>
    <row r="128" spans="18:27" x14ac:dyDescent="0.2">
      <c r="R128" s="216"/>
      <c r="S128" s="216"/>
      <c r="T128" s="216"/>
      <c r="U128" s="216"/>
      <c r="V128" s="216"/>
      <c r="W128" s="216"/>
      <c r="X128" s="84"/>
      <c r="Y128" s="84"/>
      <c r="Z128" s="86"/>
      <c r="AA128" s="34"/>
    </row>
    <row r="129" spans="18:27" x14ac:dyDescent="0.2">
      <c r="R129" s="216"/>
      <c r="S129" s="216"/>
      <c r="T129" s="216"/>
      <c r="U129" s="216"/>
      <c r="V129" s="216"/>
      <c r="W129" s="216"/>
      <c r="X129" s="84"/>
      <c r="Y129" s="84"/>
      <c r="Z129" s="86"/>
      <c r="AA129" s="34"/>
    </row>
    <row r="130" spans="18:27" x14ac:dyDescent="0.2">
      <c r="R130" s="216"/>
      <c r="S130" s="216"/>
      <c r="T130" s="216"/>
      <c r="U130" s="216"/>
      <c r="V130" s="216"/>
      <c r="W130" s="216"/>
      <c r="X130" s="84"/>
      <c r="Y130" s="84"/>
      <c r="Z130" s="86"/>
      <c r="AA130" s="34"/>
    </row>
    <row r="131" spans="18:27" x14ac:dyDescent="0.2">
      <c r="R131" s="216"/>
      <c r="S131" s="216"/>
      <c r="T131" s="216"/>
      <c r="U131" s="216"/>
      <c r="V131" s="216"/>
      <c r="W131" s="216"/>
      <c r="X131" s="84"/>
      <c r="Y131" s="84"/>
      <c r="Z131" s="86"/>
      <c r="AA131" s="34"/>
    </row>
    <row r="132" spans="18:27" x14ac:dyDescent="0.2">
      <c r="R132" s="216"/>
      <c r="S132" s="216"/>
      <c r="T132" s="216"/>
      <c r="U132" s="216"/>
      <c r="V132" s="216"/>
      <c r="W132" s="216"/>
      <c r="X132" s="84"/>
      <c r="Y132" s="84"/>
      <c r="Z132" s="86"/>
      <c r="AA132" s="34"/>
    </row>
    <row r="133" spans="18:27" x14ac:dyDescent="0.2">
      <c r="R133" s="216"/>
      <c r="S133" s="216"/>
      <c r="T133" s="216"/>
      <c r="U133" s="216"/>
      <c r="V133" s="216"/>
      <c r="W133" s="216"/>
      <c r="X133" s="84"/>
      <c r="Y133" s="84"/>
      <c r="Z133" s="86"/>
      <c r="AA133" s="34"/>
    </row>
    <row r="134" spans="18:27" x14ac:dyDescent="0.2">
      <c r="R134" s="216"/>
      <c r="S134" s="216"/>
      <c r="T134" s="216"/>
      <c r="U134" s="216"/>
      <c r="V134" s="216"/>
      <c r="W134" s="216"/>
      <c r="AA134" s="34"/>
    </row>
    <row r="135" spans="18:27" x14ac:dyDescent="0.2">
      <c r="R135" s="216"/>
      <c r="S135" s="216"/>
      <c r="T135" s="216"/>
      <c r="U135" s="216"/>
      <c r="V135" s="216"/>
      <c r="W135" s="216"/>
      <c r="AA135" s="34"/>
    </row>
    <row r="136" spans="18:27" x14ac:dyDescent="0.2">
      <c r="R136" s="216"/>
      <c r="S136" s="216"/>
      <c r="T136" s="216"/>
      <c r="U136" s="216"/>
      <c r="V136" s="216"/>
      <c r="W136" s="216"/>
      <c r="AA136" s="34"/>
    </row>
  </sheetData>
  <mergeCells count="119">
    <mergeCell ref="K29:P29"/>
    <mergeCell ref="K23:P23"/>
    <mergeCell ref="K24:P24"/>
    <mergeCell ref="K25:P25"/>
    <mergeCell ref="K26:P26"/>
    <mergeCell ref="R2:Z2"/>
    <mergeCell ref="K27:P27"/>
    <mergeCell ref="K30:P30"/>
    <mergeCell ref="D31:I31"/>
    <mergeCell ref="D30:I30"/>
    <mergeCell ref="N4:P4"/>
    <mergeCell ref="K11:L11"/>
    <mergeCell ref="M11:N11"/>
    <mergeCell ref="O11:P11"/>
    <mergeCell ref="D27:I27"/>
    <mergeCell ref="K9:M9"/>
    <mergeCell ref="N9:P9"/>
    <mergeCell ref="R4:T4"/>
    <mergeCell ref="U4:W4"/>
    <mergeCell ref="X4:Z4"/>
    <mergeCell ref="R8:T8"/>
    <mergeCell ref="U8:W8"/>
    <mergeCell ref="X8:Z8"/>
    <mergeCell ref="R5:T5"/>
    <mergeCell ref="U5:W5"/>
    <mergeCell ref="B24:B25"/>
    <mergeCell ref="B26:B27"/>
    <mergeCell ref="R40:W40"/>
    <mergeCell ref="X40:Z40"/>
    <mergeCell ref="R38:W39"/>
    <mergeCell ref="X38:Z38"/>
    <mergeCell ref="X39:Z39"/>
    <mergeCell ref="R23:W23"/>
    <mergeCell ref="X23:Z23"/>
    <mergeCell ref="R24:W24"/>
    <mergeCell ref="X24:Z24"/>
    <mergeCell ref="R25:W25"/>
    <mergeCell ref="X25:Z25"/>
    <mergeCell ref="R32:W33"/>
    <mergeCell ref="X32:Z32"/>
    <mergeCell ref="X33:Z33"/>
    <mergeCell ref="R35:W35"/>
    <mergeCell ref="X35:Z35"/>
    <mergeCell ref="R36:W37"/>
    <mergeCell ref="X36:Z36"/>
    <mergeCell ref="X37:Z37"/>
    <mergeCell ref="R26:W26"/>
    <mergeCell ref="X5:Z5"/>
    <mergeCell ref="R6:T6"/>
    <mergeCell ref="U6:W6"/>
    <mergeCell ref="X13:Z13"/>
    <mergeCell ref="X14:Z14"/>
    <mergeCell ref="X26:Z26"/>
    <mergeCell ref="R27:W27"/>
    <mergeCell ref="X30:Z30"/>
    <mergeCell ref="X27:Z27"/>
    <mergeCell ref="X6:Z6"/>
    <mergeCell ref="X15:Z15"/>
    <mergeCell ref="X16:Z16"/>
    <mergeCell ref="X17:Z17"/>
    <mergeCell ref="X18:Z18"/>
    <mergeCell ref="X19:Z19"/>
    <mergeCell ref="X20:Z20"/>
    <mergeCell ref="X21:Z21"/>
    <mergeCell ref="U7:W7"/>
    <mergeCell ref="X7:Z7"/>
    <mergeCell ref="R9:T9"/>
    <mergeCell ref="U9:W9"/>
    <mergeCell ref="X9:Z9"/>
    <mergeCell ref="R11:S11"/>
    <mergeCell ref="T11:U11"/>
    <mergeCell ref="D2:I2"/>
    <mergeCell ref="D4:F4"/>
    <mergeCell ref="G4:I4"/>
    <mergeCell ref="D5:F5"/>
    <mergeCell ref="G5:I5"/>
    <mergeCell ref="D6:F6"/>
    <mergeCell ref="B14:B15"/>
    <mergeCell ref="K2:P2"/>
    <mergeCell ref="K4:M4"/>
    <mergeCell ref="K5:M5"/>
    <mergeCell ref="N5:P5"/>
    <mergeCell ref="K6:M6"/>
    <mergeCell ref="N6:P6"/>
    <mergeCell ref="K8:M8"/>
    <mergeCell ref="N8:P8"/>
    <mergeCell ref="K7:M7"/>
    <mergeCell ref="N7:P7"/>
    <mergeCell ref="G6:I6"/>
    <mergeCell ref="D7:F7"/>
    <mergeCell ref="G7:I7"/>
    <mergeCell ref="D8:F8"/>
    <mergeCell ref="G8:I8"/>
    <mergeCell ref="D9:F9"/>
    <mergeCell ref="G9:I9"/>
    <mergeCell ref="D24:I24"/>
    <mergeCell ref="D25:I25"/>
    <mergeCell ref="D26:I26"/>
    <mergeCell ref="R29:W29"/>
    <mergeCell ref="X29:Z29"/>
    <mergeCell ref="R30:W31"/>
    <mergeCell ref="B6:B7"/>
    <mergeCell ref="B8:B9"/>
    <mergeCell ref="D29:I29"/>
    <mergeCell ref="D23:I23"/>
    <mergeCell ref="X31:Z31"/>
    <mergeCell ref="X22:Z22"/>
    <mergeCell ref="K31:P31"/>
    <mergeCell ref="V11:W11"/>
    <mergeCell ref="X11:Z12"/>
    <mergeCell ref="R7:T7"/>
    <mergeCell ref="B21:B22"/>
    <mergeCell ref="D11:E11"/>
    <mergeCell ref="F11:G11"/>
    <mergeCell ref="H11:I11"/>
    <mergeCell ref="B16:B17"/>
    <mergeCell ref="B19:B20"/>
    <mergeCell ref="B11:B12"/>
    <mergeCell ref="B29:B31"/>
  </mergeCells>
  <pageMargins left="7.874015748031496E-2" right="7.874015748031496E-2" top="0.94488188976377963" bottom="0.6692913385826772" header="0.31496062992125984" footer="0.31496062992125984"/>
  <pageSetup paperSize="9" scale="99" fitToHeight="3" orientation="landscape"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10"/>
  <sheetViews>
    <sheetView showGridLines="0" workbookViewId="0"/>
  </sheetViews>
  <sheetFormatPr baseColWidth="10" defaultColWidth="11.42578125" defaultRowHeight="11.25" x14ac:dyDescent="0.2"/>
  <cols>
    <col min="1" max="1" width="0.85546875" style="299" customWidth="1"/>
    <col min="2" max="2" width="23.42578125" style="299" bestFit="1" customWidth="1"/>
    <col min="3" max="4" width="10.7109375" style="299" customWidth="1"/>
    <col min="5" max="5" width="12.5703125" style="299" bestFit="1" customWidth="1"/>
    <col min="6" max="6" width="0.85546875" style="299" customWidth="1"/>
    <col min="7" max="16384" width="11.42578125" style="299"/>
  </cols>
  <sheetData>
    <row r="1" spans="2:5" ht="5.0999999999999996" customHeight="1" x14ac:dyDescent="0.2"/>
    <row r="2" spans="2:5" x14ac:dyDescent="0.2">
      <c r="B2" s="322" t="s">
        <v>61</v>
      </c>
      <c r="C2" s="799" t="s">
        <v>62</v>
      </c>
      <c r="D2" s="800"/>
      <c r="E2" s="801"/>
    </row>
    <row r="3" spans="2:5" x14ac:dyDescent="0.2">
      <c r="B3" s="323" t="s">
        <v>63</v>
      </c>
      <c r="C3" s="326">
        <v>55356</v>
      </c>
      <c r="D3" s="332"/>
      <c r="E3" s="337" t="s">
        <v>64</v>
      </c>
    </row>
    <row r="4" spans="2:5" x14ac:dyDescent="0.2">
      <c r="B4" s="324" t="s">
        <v>65</v>
      </c>
      <c r="C4" s="327">
        <v>50697</v>
      </c>
      <c r="D4" s="333">
        <f>C4/$C$3</f>
        <v>0.91583568176891395</v>
      </c>
      <c r="E4" s="338" t="s">
        <v>66</v>
      </c>
    </row>
    <row r="5" spans="2:5" x14ac:dyDescent="0.2">
      <c r="B5" s="324" t="s">
        <v>67</v>
      </c>
      <c r="C5" s="327">
        <v>4659</v>
      </c>
      <c r="D5" s="333">
        <f>C5/$C$3</f>
        <v>8.4164318231086055E-2</v>
      </c>
      <c r="E5" s="338" t="s">
        <v>66</v>
      </c>
    </row>
    <row r="6" spans="2:5" x14ac:dyDescent="0.2">
      <c r="B6" s="324" t="s">
        <v>68</v>
      </c>
      <c r="C6" s="327">
        <v>14901</v>
      </c>
      <c r="D6" s="333">
        <f>C6/$C$3</f>
        <v>0.26918491220463908</v>
      </c>
      <c r="E6" s="339" t="s">
        <v>69</v>
      </c>
    </row>
    <row r="7" spans="2:5" x14ac:dyDescent="0.2">
      <c r="B7" s="325" t="s">
        <v>70</v>
      </c>
      <c r="C7" s="328">
        <f>C4-C6</f>
        <v>35796</v>
      </c>
      <c r="D7" s="334">
        <f>C7/$C$4</f>
        <v>0.70607728267944847</v>
      </c>
      <c r="E7" s="331" t="s">
        <v>71</v>
      </c>
    </row>
    <row r="8" spans="2:5" x14ac:dyDescent="0.2">
      <c r="B8" s="342" t="s">
        <v>72</v>
      </c>
      <c r="C8" s="330">
        <v>2049</v>
      </c>
      <c r="D8" s="335">
        <f>C8/$C$3</f>
        <v>3.7014957728159548E-2</v>
      </c>
      <c r="E8" s="340" t="s">
        <v>73</v>
      </c>
    </row>
    <row r="9" spans="2:5" x14ac:dyDescent="0.2">
      <c r="B9" s="343" t="s">
        <v>74</v>
      </c>
      <c r="C9" s="329">
        <f>C3-C8</f>
        <v>53307</v>
      </c>
      <c r="D9" s="336">
        <f>C9/$C$3</f>
        <v>0.96298504227184045</v>
      </c>
      <c r="E9" s="341"/>
    </row>
    <row r="10" spans="2:5" ht="5.0999999999999996" customHeight="1" x14ac:dyDescent="0.2"/>
  </sheetData>
  <mergeCells count="1">
    <mergeCell ref="C2:E2"/>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A43"/>
  <sheetViews>
    <sheetView showGridLines="0" showZeros="0" zoomScale="95" zoomScaleNormal="95" workbookViewId="0"/>
  </sheetViews>
  <sheetFormatPr baseColWidth="10" defaultColWidth="11.42578125" defaultRowHeight="11.25" x14ac:dyDescent="0.2"/>
  <cols>
    <col min="1" max="1" width="0.85546875" style="299" customWidth="1"/>
    <col min="2" max="2" width="5.7109375" style="299" customWidth="1"/>
    <col min="3" max="3" width="9" style="299" customWidth="1"/>
    <col min="4" max="4" width="33.5703125" style="299" customWidth="1"/>
    <col min="5" max="6" width="7.7109375" style="299" customWidth="1"/>
    <col min="7" max="7" width="5.85546875" style="299" customWidth="1"/>
    <col min="8" max="8" width="8.7109375" style="299" customWidth="1"/>
    <col min="9" max="9" width="13.7109375" style="299" customWidth="1"/>
    <col min="10" max="11" width="14.140625" style="299" customWidth="1"/>
    <col min="12" max="13" width="12.42578125" style="299" customWidth="1"/>
    <col min="14" max="15" width="7.7109375" style="299" customWidth="1"/>
    <col min="16" max="16" width="5.28515625" style="299" customWidth="1"/>
    <col min="17" max="17" width="8.42578125" style="299" customWidth="1"/>
    <col min="18" max="18" width="12.140625" style="299" customWidth="1"/>
    <col min="19" max="19" width="12.42578125" style="299" customWidth="1"/>
    <col min="20" max="20" width="11.7109375" style="299" customWidth="1"/>
    <col min="21" max="22" width="8" style="299" customWidth="1"/>
    <col min="23" max="23" width="5.85546875" style="299" customWidth="1"/>
    <col min="24" max="24" width="8.7109375" style="299" customWidth="1"/>
    <col min="25" max="25" width="14.140625" style="299" customWidth="1"/>
    <col min="26" max="26" width="13.42578125" style="299" customWidth="1"/>
    <col min="27" max="27" width="11.42578125" style="299" customWidth="1"/>
    <col min="28" max="28" width="0.85546875" style="299" customWidth="1"/>
    <col min="29" max="16384" width="11.42578125" style="299"/>
  </cols>
  <sheetData>
    <row r="1" spans="2:27" ht="5.0999999999999996" customHeight="1" x14ac:dyDescent="0.2"/>
    <row r="2" spans="2:27" x14ac:dyDescent="0.2">
      <c r="B2" s="802" t="s">
        <v>75</v>
      </c>
      <c r="C2" s="803"/>
      <c r="D2" s="803"/>
      <c r="E2" s="803"/>
      <c r="F2" s="803"/>
      <c r="G2" s="803"/>
      <c r="H2" s="803"/>
      <c r="I2" s="803"/>
      <c r="J2" s="803"/>
      <c r="K2" s="803"/>
      <c r="L2" s="803"/>
      <c r="M2" s="803"/>
      <c r="N2" s="803"/>
      <c r="O2" s="803"/>
      <c r="P2" s="803"/>
      <c r="Q2" s="803"/>
      <c r="R2" s="803"/>
      <c r="S2" s="803"/>
      <c r="T2" s="803"/>
      <c r="U2" s="803"/>
      <c r="V2" s="803"/>
      <c r="W2" s="803"/>
      <c r="X2" s="803"/>
      <c r="Y2" s="803"/>
      <c r="Z2" s="803"/>
      <c r="AA2" s="804"/>
    </row>
    <row r="3" spans="2:27" ht="5.0999999999999996" customHeight="1" x14ac:dyDescent="0.2">
      <c r="B3" s="29"/>
      <c r="C3" s="119"/>
      <c r="D3" s="119"/>
      <c r="E3" s="119"/>
      <c r="F3" s="11"/>
      <c r="G3" s="11"/>
      <c r="H3" s="120"/>
      <c r="I3" s="46"/>
      <c r="J3" s="121"/>
      <c r="K3" s="121"/>
      <c r="L3" s="121"/>
      <c r="M3" s="121"/>
      <c r="N3" s="121"/>
      <c r="O3" s="121"/>
      <c r="P3" s="121"/>
      <c r="Q3" s="121"/>
      <c r="R3" s="121"/>
      <c r="S3" s="121"/>
      <c r="T3" s="121"/>
      <c r="U3" s="121"/>
      <c r="V3" s="121"/>
      <c r="W3" s="121"/>
      <c r="X3" s="11"/>
      <c r="Y3" s="11"/>
      <c r="Z3" s="11"/>
      <c r="AA3" s="122"/>
    </row>
    <row r="4" spans="2:27" x14ac:dyDescent="0.2">
      <c r="B4" s="854" t="s">
        <v>76</v>
      </c>
      <c r="C4" s="827"/>
      <c r="D4" s="828"/>
      <c r="E4" s="826" t="s">
        <v>54</v>
      </c>
      <c r="F4" s="827"/>
      <c r="G4" s="827"/>
      <c r="H4" s="827"/>
      <c r="I4" s="827"/>
      <c r="J4" s="827"/>
      <c r="K4" s="827"/>
      <c r="L4" s="827"/>
      <c r="M4" s="828"/>
      <c r="N4" s="826" t="s">
        <v>77</v>
      </c>
      <c r="O4" s="827"/>
      <c r="P4" s="827"/>
      <c r="Q4" s="827"/>
      <c r="R4" s="827"/>
      <c r="S4" s="827"/>
      <c r="T4" s="828"/>
      <c r="U4" s="826" t="s">
        <v>78</v>
      </c>
      <c r="V4" s="827"/>
      <c r="W4" s="827"/>
      <c r="X4" s="827"/>
      <c r="Y4" s="827"/>
      <c r="Z4" s="827"/>
      <c r="AA4" s="828"/>
    </row>
    <row r="5" spans="2:27" ht="12.75" customHeight="1" x14ac:dyDescent="0.2">
      <c r="B5" s="855" t="s">
        <v>79</v>
      </c>
      <c r="C5" s="856"/>
      <c r="D5" s="842" t="s">
        <v>80</v>
      </c>
      <c r="E5" s="837" t="s">
        <v>81</v>
      </c>
      <c r="F5" s="838"/>
      <c r="G5" s="839"/>
      <c r="H5" s="832" t="s">
        <v>82</v>
      </c>
      <c r="I5" s="872" t="s">
        <v>83</v>
      </c>
      <c r="J5" s="832" t="s">
        <v>84</v>
      </c>
      <c r="K5" s="829" t="s">
        <v>85</v>
      </c>
      <c r="L5" s="832" t="s">
        <v>86</v>
      </c>
      <c r="M5" s="829" t="s">
        <v>87</v>
      </c>
      <c r="N5" s="837" t="s">
        <v>81</v>
      </c>
      <c r="O5" s="838"/>
      <c r="P5" s="839"/>
      <c r="Q5" s="832" t="s">
        <v>88</v>
      </c>
      <c r="R5" s="808" t="s">
        <v>89</v>
      </c>
      <c r="S5" s="808" t="s">
        <v>84</v>
      </c>
      <c r="T5" s="829" t="s">
        <v>86</v>
      </c>
      <c r="U5" s="837" t="s">
        <v>81</v>
      </c>
      <c r="V5" s="838"/>
      <c r="W5" s="839"/>
      <c r="X5" s="832" t="s">
        <v>88</v>
      </c>
      <c r="Y5" s="808" t="s">
        <v>89</v>
      </c>
      <c r="Z5" s="808" t="s">
        <v>84</v>
      </c>
      <c r="AA5" s="829" t="s">
        <v>86</v>
      </c>
    </row>
    <row r="6" spans="2:27" x14ac:dyDescent="0.2">
      <c r="B6" s="857"/>
      <c r="C6" s="858"/>
      <c r="D6" s="830"/>
      <c r="E6" s="805" t="s">
        <v>90</v>
      </c>
      <c r="F6" s="808" t="s">
        <v>91</v>
      </c>
      <c r="G6" s="811" t="s">
        <v>92</v>
      </c>
      <c r="H6" s="833"/>
      <c r="I6" s="873"/>
      <c r="J6" s="833"/>
      <c r="K6" s="830"/>
      <c r="L6" s="833"/>
      <c r="M6" s="830"/>
      <c r="N6" s="805" t="s">
        <v>90</v>
      </c>
      <c r="O6" s="808" t="s">
        <v>91</v>
      </c>
      <c r="P6" s="811" t="s">
        <v>92</v>
      </c>
      <c r="Q6" s="833"/>
      <c r="R6" s="835"/>
      <c r="S6" s="835"/>
      <c r="T6" s="830"/>
      <c r="U6" s="805" t="s">
        <v>90</v>
      </c>
      <c r="V6" s="808" t="s">
        <v>91</v>
      </c>
      <c r="W6" s="811" t="s">
        <v>92</v>
      </c>
      <c r="X6" s="833"/>
      <c r="Y6" s="835"/>
      <c r="Z6" s="835"/>
      <c r="AA6" s="830"/>
    </row>
    <row r="7" spans="2:27" x14ac:dyDescent="0.2">
      <c r="B7" s="857"/>
      <c r="C7" s="858"/>
      <c r="D7" s="830"/>
      <c r="E7" s="806"/>
      <c r="F7" s="809"/>
      <c r="G7" s="812"/>
      <c r="H7" s="833"/>
      <c r="I7" s="873"/>
      <c r="J7" s="833"/>
      <c r="K7" s="830"/>
      <c r="L7" s="833"/>
      <c r="M7" s="830"/>
      <c r="N7" s="806"/>
      <c r="O7" s="809"/>
      <c r="P7" s="812"/>
      <c r="Q7" s="833"/>
      <c r="R7" s="835"/>
      <c r="S7" s="835"/>
      <c r="T7" s="830"/>
      <c r="U7" s="806"/>
      <c r="V7" s="809"/>
      <c r="W7" s="812"/>
      <c r="X7" s="833"/>
      <c r="Y7" s="835"/>
      <c r="Z7" s="835"/>
      <c r="AA7" s="830"/>
    </row>
    <row r="8" spans="2:27" x14ac:dyDescent="0.2">
      <c r="B8" s="857"/>
      <c r="C8" s="858"/>
      <c r="D8" s="830"/>
      <c r="E8" s="806"/>
      <c r="F8" s="809"/>
      <c r="G8" s="812"/>
      <c r="H8" s="833"/>
      <c r="I8" s="873"/>
      <c r="J8" s="833"/>
      <c r="K8" s="830"/>
      <c r="L8" s="833"/>
      <c r="M8" s="830"/>
      <c r="N8" s="806"/>
      <c r="O8" s="809"/>
      <c r="P8" s="812"/>
      <c r="Q8" s="833"/>
      <c r="R8" s="835"/>
      <c r="S8" s="835"/>
      <c r="T8" s="830"/>
      <c r="U8" s="806"/>
      <c r="V8" s="809"/>
      <c r="W8" s="812"/>
      <c r="X8" s="833"/>
      <c r="Y8" s="835"/>
      <c r="Z8" s="835"/>
      <c r="AA8" s="830"/>
    </row>
    <row r="9" spans="2:27" x14ac:dyDescent="0.2">
      <c r="B9" s="859"/>
      <c r="C9" s="860"/>
      <c r="D9" s="831"/>
      <c r="E9" s="807"/>
      <c r="F9" s="810"/>
      <c r="G9" s="813"/>
      <c r="H9" s="834"/>
      <c r="I9" s="874"/>
      <c r="J9" s="834"/>
      <c r="K9" s="831"/>
      <c r="L9" s="834"/>
      <c r="M9" s="831"/>
      <c r="N9" s="807"/>
      <c r="O9" s="810"/>
      <c r="P9" s="813"/>
      <c r="Q9" s="834"/>
      <c r="R9" s="836"/>
      <c r="S9" s="836"/>
      <c r="T9" s="831"/>
      <c r="U9" s="807"/>
      <c r="V9" s="810"/>
      <c r="W9" s="813"/>
      <c r="X9" s="834"/>
      <c r="Y9" s="836"/>
      <c r="Z9" s="836"/>
      <c r="AA9" s="831"/>
    </row>
    <row r="10" spans="2:27" ht="5.0999999999999996" customHeight="1" x14ac:dyDescent="0.2">
      <c r="B10" s="216"/>
      <c r="C10" s="123"/>
      <c r="D10" s="125"/>
      <c r="E10" s="124"/>
      <c r="F10" s="126"/>
      <c r="G10" s="126"/>
      <c r="H10" s="126"/>
      <c r="I10" s="126"/>
      <c r="J10" s="126"/>
      <c r="K10" s="126"/>
      <c r="L10" s="126"/>
      <c r="M10" s="126"/>
      <c r="N10" s="123"/>
      <c r="O10" s="126"/>
      <c r="P10" s="126"/>
      <c r="Q10" s="126"/>
      <c r="R10" s="126"/>
      <c r="S10" s="126"/>
      <c r="T10" s="126"/>
      <c r="U10" s="123"/>
      <c r="V10" s="126"/>
      <c r="W10" s="126"/>
      <c r="X10" s="126"/>
      <c r="Y10" s="126"/>
      <c r="Z10" s="126"/>
      <c r="AA10" s="126"/>
    </row>
    <row r="11" spans="2:27" x14ac:dyDescent="0.2">
      <c r="B11" s="865" t="s">
        <v>93</v>
      </c>
      <c r="C11" s="820" t="s">
        <v>94</v>
      </c>
      <c r="D11" s="147" t="s">
        <v>95</v>
      </c>
      <c r="E11" s="823">
        <v>34404</v>
      </c>
      <c r="F11" s="159"/>
      <c r="G11" s="814">
        <f>E11-SUM(F11:F16)</f>
        <v>-2907</v>
      </c>
      <c r="H11" s="292">
        <v>0</v>
      </c>
      <c r="I11" s="140">
        <f t="shared" ref="I11:I23" si="0">R11+Y11</f>
        <v>0</v>
      </c>
      <c r="J11" s="70">
        <f t="shared" ref="J11:J23" si="1">S11+Z11</f>
        <v>0</v>
      </c>
      <c r="K11" s="817">
        <f>SUM(J11:J16)</f>
        <v>1105567772</v>
      </c>
      <c r="L11" s="70">
        <f t="shared" ref="L11:L23" si="2">T11+AA11</f>
        <v>0</v>
      </c>
      <c r="M11" s="817">
        <f>SUM(L11:L16)</f>
        <v>3456128</v>
      </c>
      <c r="N11" s="823">
        <v>6544</v>
      </c>
      <c r="O11" s="159">
        <v>0</v>
      </c>
      <c r="P11" s="814">
        <f>N11-SUM(O11:O16)</f>
        <v>-717</v>
      </c>
      <c r="Q11" s="292">
        <v>0</v>
      </c>
      <c r="R11" s="66">
        <f t="shared" ref="R11:R23" si="3">Q11*O11</f>
        <v>0</v>
      </c>
      <c r="S11" s="66">
        <f>IF(Q11&lt;'BS 2015'!$F$39,Q11*O11,'BS 2015'!$F$39*O11)</f>
        <v>0</v>
      </c>
      <c r="T11" s="48">
        <f t="shared" ref="T11:T23" si="4">R11-S11</f>
        <v>0</v>
      </c>
      <c r="U11" s="823">
        <v>27860</v>
      </c>
      <c r="V11" s="159">
        <v>0</v>
      </c>
      <c r="W11" s="814">
        <f>U11-SUM(V11:V16)</f>
        <v>-2190</v>
      </c>
      <c r="X11" s="292">
        <v>0</v>
      </c>
      <c r="Y11" s="66">
        <f t="shared" ref="Y11:Y23" si="5">X11*V11</f>
        <v>0</v>
      </c>
      <c r="Z11" s="66">
        <f>IF(X11&lt;'BS 2015'!$F$39,X11*V11,'BS 2015'!$F$39*V11)</f>
        <v>0</v>
      </c>
      <c r="AA11" s="48">
        <f t="shared" ref="AA11:AA23" si="6">Y11-Z11</f>
        <v>0</v>
      </c>
    </row>
    <row r="12" spans="2:27" x14ac:dyDescent="0.2">
      <c r="B12" s="866"/>
      <c r="C12" s="821"/>
      <c r="D12" s="148" t="s">
        <v>96</v>
      </c>
      <c r="E12" s="824"/>
      <c r="F12" s="160">
        <v>1728</v>
      </c>
      <c r="G12" s="815"/>
      <c r="H12" s="293">
        <v>14675</v>
      </c>
      <c r="I12" s="141">
        <f t="shared" si="0"/>
        <v>25344000</v>
      </c>
      <c r="J12" s="127">
        <f t="shared" si="1"/>
        <v>25344000</v>
      </c>
      <c r="K12" s="818"/>
      <c r="L12" s="127">
        <f t="shared" si="2"/>
        <v>0</v>
      </c>
      <c r="M12" s="818"/>
      <c r="N12" s="824"/>
      <c r="O12" s="160">
        <v>224</v>
      </c>
      <c r="P12" s="815"/>
      <c r="Q12" s="293">
        <v>15215</v>
      </c>
      <c r="R12" s="128">
        <f t="shared" si="3"/>
        <v>3408160</v>
      </c>
      <c r="S12" s="128">
        <f>IF(Q12&lt;'BS 2015'!$F$39,Q12*O12,'BS 2015'!$F$39*O12)</f>
        <v>3408160</v>
      </c>
      <c r="T12" s="129">
        <f t="shared" si="4"/>
        <v>0</v>
      </c>
      <c r="U12" s="824"/>
      <c r="V12" s="160">
        <v>1504</v>
      </c>
      <c r="W12" s="815"/>
      <c r="X12" s="293">
        <v>14585</v>
      </c>
      <c r="Y12" s="128">
        <f t="shared" si="5"/>
        <v>21935840</v>
      </c>
      <c r="Z12" s="128">
        <f>IF(X12&lt;'BS 2015'!$F$39,X12*V12,'BS 2015'!$F$39*V12)</f>
        <v>21935840</v>
      </c>
      <c r="AA12" s="129">
        <f t="shared" si="6"/>
        <v>0</v>
      </c>
    </row>
    <row r="13" spans="2:27" x14ac:dyDescent="0.2">
      <c r="B13" s="866"/>
      <c r="C13" s="821"/>
      <c r="D13" s="149" t="s">
        <v>97</v>
      </c>
      <c r="E13" s="824"/>
      <c r="F13" s="161">
        <v>8437</v>
      </c>
      <c r="G13" s="815"/>
      <c r="H13" s="294">
        <v>25463</v>
      </c>
      <c r="I13" s="142">
        <f t="shared" si="0"/>
        <v>214845367</v>
      </c>
      <c r="J13" s="71">
        <f t="shared" si="1"/>
        <v>214845367</v>
      </c>
      <c r="K13" s="818"/>
      <c r="L13" s="71">
        <f t="shared" si="2"/>
        <v>0</v>
      </c>
      <c r="M13" s="818"/>
      <c r="N13" s="824"/>
      <c r="O13" s="161">
        <v>1583</v>
      </c>
      <c r="P13" s="815"/>
      <c r="Q13" s="294">
        <v>26117</v>
      </c>
      <c r="R13" s="67">
        <f t="shared" si="3"/>
        <v>41343211</v>
      </c>
      <c r="S13" s="67">
        <f>IF(Q13&lt;'BS 2015'!$F$39,Q13*O13,'BS 2015'!$F$39*O13)</f>
        <v>41343211</v>
      </c>
      <c r="T13" s="49">
        <f t="shared" si="4"/>
        <v>0</v>
      </c>
      <c r="U13" s="824"/>
      <c r="V13" s="161">
        <v>6854</v>
      </c>
      <c r="W13" s="815"/>
      <c r="X13" s="294">
        <v>25314</v>
      </c>
      <c r="Y13" s="67">
        <f t="shared" si="5"/>
        <v>173502156</v>
      </c>
      <c r="Z13" s="67">
        <f>IF(X13&lt;'BS 2015'!$F$39,X13*V13,'BS 2015'!$F$39*V13)</f>
        <v>173502156</v>
      </c>
      <c r="AA13" s="49">
        <f t="shared" si="6"/>
        <v>0</v>
      </c>
    </row>
    <row r="14" spans="2:27" x14ac:dyDescent="0.2">
      <c r="B14" s="866"/>
      <c r="C14" s="821"/>
      <c r="D14" s="149" t="s">
        <v>98</v>
      </c>
      <c r="E14" s="824"/>
      <c r="F14" s="161">
        <v>9054</v>
      </c>
      <c r="G14" s="815"/>
      <c r="H14" s="294">
        <v>27056</v>
      </c>
      <c r="I14" s="142">
        <f t="shared" si="0"/>
        <v>244974459</v>
      </c>
      <c r="J14" s="71">
        <f t="shared" si="1"/>
        <v>244974459</v>
      </c>
      <c r="K14" s="818"/>
      <c r="L14" s="71">
        <f t="shared" si="2"/>
        <v>0</v>
      </c>
      <c r="M14" s="818"/>
      <c r="N14" s="824"/>
      <c r="O14" s="161">
        <v>1623</v>
      </c>
      <c r="P14" s="815"/>
      <c r="Q14" s="294">
        <v>29200</v>
      </c>
      <c r="R14" s="67">
        <f t="shared" si="3"/>
        <v>47391600</v>
      </c>
      <c r="S14" s="67">
        <f>IF(Q14&lt;'BS 2015'!$F$39,Q14*O14,'BS 2015'!$F$39*O14)</f>
        <v>47391600</v>
      </c>
      <c r="T14" s="49">
        <f t="shared" si="4"/>
        <v>0</v>
      </c>
      <c r="U14" s="824"/>
      <c r="V14" s="161">
        <v>7431</v>
      </c>
      <c r="W14" s="815"/>
      <c r="X14" s="294">
        <v>26589</v>
      </c>
      <c r="Y14" s="67">
        <f t="shared" si="5"/>
        <v>197582859</v>
      </c>
      <c r="Z14" s="67">
        <f>IF(X14&lt;'BS 2015'!$F$39,X14*V14,'BS 2015'!$F$39*V14)</f>
        <v>197582859</v>
      </c>
      <c r="AA14" s="49">
        <f t="shared" si="6"/>
        <v>0</v>
      </c>
    </row>
    <row r="15" spans="2:27" x14ac:dyDescent="0.2">
      <c r="B15" s="866"/>
      <c r="C15" s="821"/>
      <c r="D15" s="149" t="s">
        <v>99</v>
      </c>
      <c r="E15" s="824"/>
      <c r="F15" s="161">
        <v>10502</v>
      </c>
      <c r="G15" s="815"/>
      <c r="H15" s="294">
        <v>31377</v>
      </c>
      <c r="I15" s="142">
        <f t="shared" si="0"/>
        <v>329501506</v>
      </c>
      <c r="J15" s="71">
        <f t="shared" si="1"/>
        <v>329501506</v>
      </c>
      <c r="K15" s="818"/>
      <c r="L15" s="71">
        <f t="shared" si="2"/>
        <v>0</v>
      </c>
      <c r="M15" s="818"/>
      <c r="N15" s="824"/>
      <c r="O15" s="161">
        <v>2089</v>
      </c>
      <c r="P15" s="815"/>
      <c r="Q15" s="294">
        <v>33796</v>
      </c>
      <c r="R15" s="67">
        <f t="shared" si="3"/>
        <v>70599844</v>
      </c>
      <c r="S15" s="67">
        <f>IF(Q15&lt;'BS 2015'!$F$39,Q15*O15,'BS 2015'!$F$39*O15)</f>
        <v>70599844</v>
      </c>
      <c r="T15" s="49">
        <f t="shared" si="4"/>
        <v>0</v>
      </c>
      <c r="U15" s="824"/>
      <c r="V15" s="161">
        <v>8413</v>
      </c>
      <c r="W15" s="815"/>
      <c r="X15" s="294">
        <v>30774</v>
      </c>
      <c r="Y15" s="67">
        <f t="shared" si="5"/>
        <v>258901662</v>
      </c>
      <c r="Z15" s="67">
        <f>IF(X15&lt;'BS 2015'!$F$39,X15*V15,'BS 2015'!$F$39*V15)</f>
        <v>258901662</v>
      </c>
      <c r="AA15" s="49">
        <f t="shared" si="6"/>
        <v>0</v>
      </c>
    </row>
    <row r="16" spans="2:27" x14ac:dyDescent="0.2">
      <c r="B16" s="866"/>
      <c r="C16" s="822"/>
      <c r="D16" s="150" t="s">
        <v>100</v>
      </c>
      <c r="E16" s="825"/>
      <c r="F16" s="162">
        <v>7590</v>
      </c>
      <c r="G16" s="816"/>
      <c r="H16" s="295">
        <v>38791</v>
      </c>
      <c r="I16" s="143">
        <f t="shared" si="0"/>
        <v>294358568</v>
      </c>
      <c r="J16" s="72">
        <f t="shared" si="1"/>
        <v>290902440</v>
      </c>
      <c r="K16" s="819"/>
      <c r="L16" s="72">
        <f t="shared" si="2"/>
        <v>3456128</v>
      </c>
      <c r="M16" s="819"/>
      <c r="N16" s="825"/>
      <c r="O16" s="162">
        <v>1742</v>
      </c>
      <c r="P16" s="816"/>
      <c r="Q16" s="295">
        <v>40600</v>
      </c>
      <c r="R16" s="68">
        <f t="shared" si="3"/>
        <v>70725200</v>
      </c>
      <c r="S16" s="68">
        <f>IF(Q16&lt;'BS 2015'!$F$39,Q16*O16,'BS 2015'!$F$39*O16)</f>
        <v>67269072</v>
      </c>
      <c r="T16" s="50">
        <f t="shared" si="4"/>
        <v>3456128</v>
      </c>
      <c r="U16" s="825"/>
      <c r="V16" s="162">
        <v>5848</v>
      </c>
      <c r="W16" s="816"/>
      <c r="X16" s="295">
        <v>38241</v>
      </c>
      <c r="Y16" s="68">
        <f t="shared" si="5"/>
        <v>223633368</v>
      </c>
      <c r="Z16" s="68">
        <f>IF(X16&lt;'BS 2015'!$F$39,X16*V16,'BS 2015'!$F$39*V16)</f>
        <v>223633368</v>
      </c>
      <c r="AA16" s="50">
        <f t="shared" si="6"/>
        <v>0</v>
      </c>
    </row>
    <row r="17" spans="2:27" x14ac:dyDescent="0.2">
      <c r="B17" s="866"/>
      <c r="C17" s="820" t="s">
        <v>101</v>
      </c>
      <c r="D17" s="147" t="s">
        <v>102</v>
      </c>
      <c r="E17" s="823">
        <v>9299</v>
      </c>
      <c r="F17" s="159">
        <v>4378</v>
      </c>
      <c r="G17" s="814">
        <f>E17-SUM(F17:F19)</f>
        <v>-795</v>
      </c>
      <c r="H17" s="296">
        <v>42436</v>
      </c>
      <c r="I17" s="144">
        <f t="shared" si="0"/>
        <v>185800946</v>
      </c>
      <c r="J17" s="130">
        <f t="shared" si="1"/>
        <v>169060848</v>
      </c>
      <c r="K17" s="817">
        <f>SUM(J17:J19)</f>
        <v>389789904</v>
      </c>
      <c r="L17" s="130">
        <f t="shared" si="2"/>
        <v>16740098</v>
      </c>
      <c r="M17" s="817">
        <f>SUM(L17:L19)</f>
        <v>84724200</v>
      </c>
      <c r="N17" s="823">
        <v>2807</v>
      </c>
      <c r="O17" s="159">
        <v>1411</v>
      </c>
      <c r="P17" s="814">
        <f>N17-SUM(O17:O19)</f>
        <v>-706</v>
      </c>
      <c r="Q17" s="292">
        <v>44321</v>
      </c>
      <c r="R17" s="66">
        <f t="shared" si="3"/>
        <v>62536931</v>
      </c>
      <c r="S17" s="66">
        <f>IF(Q17&lt;'BS 2015'!$F$39,Q17*O17,'BS 2015'!$F$39*O17)</f>
        <v>54487176</v>
      </c>
      <c r="T17" s="48">
        <f t="shared" si="4"/>
        <v>8049755</v>
      </c>
      <c r="U17" s="823">
        <v>6492</v>
      </c>
      <c r="V17" s="159">
        <v>2967</v>
      </c>
      <c r="W17" s="814">
        <f>U17-SUM(V17:V19)</f>
        <v>-89</v>
      </c>
      <c r="X17" s="292">
        <v>41545</v>
      </c>
      <c r="Y17" s="66">
        <f t="shared" si="5"/>
        <v>123264015</v>
      </c>
      <c r="Z17" s="66">
        <f>IF(X17&lt;'BS 2015'!$F$39,X17*V17,'BS 2015'!$F$39*V17)</f>
        <v>114573672</v>
      </c>
      <c r="AA17" s="48">
        <f t="shared" si="6"/>
        <v>8690343</v>
      </c>
    </row>
    <row r="18" spans="2:27" x14ac:dyDescent="0.2">
      <c r="B18" s="866"/>
      <c r="C18" s="821"/>
      <c r="D18" s="149" t="s">
        <v>103</v>
      </c>
      <c r="E18" s="824"/>
      <c r="F18" s="161">
        <v>2647</v>
      </c>
      <c r="G18" s="815"/>
      <c r="H18" s="294">
        <v>49404</v>
      </c>
      <c r="I18" s="142">
        <f t="shared" si="0"/>
        <v>130776373</v>
      </c>
      <c r="J18" s="71">
        <f t="shared" si="1"/>
        <v>102216552</v>
      </c>
      <c r="K18" s="818"/>
      <c r="L18" s="71">
        <f t="shared" si="2"/>
        <v>28559821</v>
      </c>
      <c r="M18" s="818"/>
      <c r="N18" s="824"/>
      <c r="O18" s="161">
        <v>893</v>
      </c>
      <c r="P18" s="815"/>
      <c r="Q18" s="294">
        <v>51133</v>
      </c>
      <c r="R18" s="67">
        <f t="shared" si="3"/>
        <v>45661769</v>
      </c>
      <c r="S18" s="67">
        <f>IF(Q18&lt;'BS 2015'!$F$39,Q18*O18,'BS 2015'!$F$39*O18)</f>
        <v>34484088</v>
      </c>
      <c r="T18" s="49">
        <f t="shared" si="4"/>
        <v>11177681</v>
      </c>
      <c r="U18" s="824"/>
      <c r="V18" s="161">
        <v>1754</v>
      </c>
      <c r="W18" s="815"/>
      <c r="X18" s="294">
        <v>48526</v>
      </c>
      <c r="Y18" s="67">
        <f t="shared" si="5"/>
        <v>85114604</v>
      </c>
      <c r="Z18" s="67">
        <f>IF(X18&lt;'BS 2015'!$F$39,X18*V18,'BS 2015'!$F$39*V18)</f>
        <v>67732464</v>
      </c>
      <c r="AA18" s="49">
        <f t="shared" si="6"/>
        <v>17382140</v>
      </c>
    </row>
    <row r="19" spans="2:27" x14ac:dyDescent="0.2">
      <c r="B19" s="866"/>
      <c r="C19" s="822"/>
      <c r="D19" s="150" t="s">
        <v>104</v>
      </c>
      <c r="E19" s="825"/>
      <c r="F19" s="162">
        <v>3069</v>
      </c>
      <c r="G19" s="816"/>
      <c r="H19" s="295">
        <v>51471</v>
      </c>
      <c r="I19" s="143">
        <f t="shared" si="0"/>
        <v>157936785</v>
      </c>
      <c r="J19" s="72">
        <f t="shared" si="1"/>
        <v>118512504</v>
      </c>
      <c r="K19" s="819"/>
      <c r="L19" s="72">
        <f t="shared" si="2"/>
        <v>39424281</v>
      </c>
      <c r="M19" s="819"/>
      <c r="N19" s="825"/>
      <c r="O19" s="162">
        <v>1209</v>
      </c>
      <c r="P19" s="816"/>
      <c r="Q19" s="295">
        <v>53385</v>
      </c>
      <c r="R19" s="68">
        <f t="shared" si="3"/>
        <v>64542465</v>
      </c>
      <c r="S19" s="68">
        <f>IF(Q19&lt;'BS 2015'!$F$39,Q19*O19,'BS 2015'!$F$39*O19)</f>
        <v>46686744</v>
      </c>
      <c r="T19" s="50">
        <f t="shared" si="4"/>
        <v>17855721</v>
      </c>
      <c r="U19" s="825"/>
      <c r="V19" s="162">
        <v>1860</v>
      </c>
      <c r="W19" s="816"/>
      <c r="X19" s="295">
        <v>50212</v>
      </c>
      <c r="Y19" s="68">
        <f t="shared" si="5"/>
        <v>93394320</v>
      </c>
      <c r="Z19" s="68">
        <f>IF(X19&lt;'BS 2015'!$F$39,X19*V19,'BS 2015'!$F$39*V19)</f>
        <v>71825760</v>
      </c>
      <c r="AA19" s="50">
        <f t="shared" si="6"/>
        <v>21568560</v>
      </c>
    </row>
    <row r="20" spans="2:27" x14ac:dyDescent="0.2">
      <c r="B20" s="866"/>
      <c r="C20" s="820" t="s">
        <v>105</v>
      </c>
      <c r="D20" s="151" t="s">
        <v>106</v>
      </c>
      <c r="E20" s="840">
        <v>7114</v>
      </c>
      <c r="F20" s="163">
        <v>1892</v>
      </c>
      <c r="G20" s="814">
        <f>E20-SUM(F20:F23)</f>
        <v>3702</v>
      </c>
      <c r="H20" s="296">
        <v>63897</v>
      </c>
      <c r="I20" s="144">
        <f t="shared" si="0"/>
        <v>120894791</v>
      </c>
      <c r="J20" s="130">
        <f t="shared" si="1"/>
        <v>73061472</v>
      </c>
      <c r="K20" s="875">
        <f>SUM(J20:J23)</f>
        <v>131757792</v>
      </c>
      <c r="L20" s="130">
        <f t="shared" si="2"/>
        <v>47833319</v>
      </c>
      <c r="M20" s="875">
        <f>SUM(L20:L23)</f>
        <v>116481279</v>
      </c>
      <c r="N20" s="823">
        <v>3383</v>
      </c>
      <c r="O20" s="163">
        <v>1003</v>
      </c>
      <c r="P20" s="814">
        <f>N20-SUM(O20:O23)</f>
        <v>1423</v>
      </c>
      <c r="Q20" s="296">
        <v>64902</v>
      </c>
      <c r="R20" s="131">
        <f t="shared" si="3"/>
        <v>65096706</v>
      </c>
      <c r="S20" s="131">
        <f>IF(Q20&lt;'BS 2015'!$F$39,Q20*O20,'BS 2015'!$F$39*O20)</f>
        <v>38731848</v>
      </c>
      <c r="T20" s="132">
        <f t="shared" si="4"/>
        <v>26364858</v>
      </c>
      <c r="U20" s="823">
        <v>3731</v>
      </c>
      <c r="V20" s="163">
        <v>889</v>
      </c>
      <c r="W20" s="814">
        <f>U20-SUM(V20:V23)</f>
        <v>2279</v>
      </c>
      <c r="X20" s="296">
        <v>62765</v>
      </c>
      <c r="Y20" s="131">
        <f t="shared" si="5"/>
        <v>55798085</v>
      </c>
      <c r="Z20" s="131">
        <f>IF(X20&lt;'BS 2015'!$F$39,X20*V20,'BS 2015'!$F$39*V20)</f>
        <v>34329624</v>
      </c>
      <c r="AA20" s="132">
        <f t="shared" si="6"/>
        <v>21468461</v>
      </c>
    </row>
    <row r="21" spans="2:27" x14ac:dyDescent="0.2">
      <c r="B21" s="866"/>
      <c r="C21" s="821"/>
      <c r="D21" s="149" t="s">
        <v>107</v>
      </c>
      <c r="E21" s="824"/>
      <c r="F21" s="161">
        <v>851</v>
      </c>
      <c r="G21" s="815"/>
      <c r="H21" s="294">
        <v>75546</v>
      </c>
      <c r="I21" s="142">
        <f t="shared" si="0"/>
        <v>64286718</v>
      </c>
      <c r="J21" s="71">
        <f t="shared" si="1"/>
        <v>32862216</v>
      </c>
      <c r="K21" s="818"/>
      <c r="L21" s="71">
        <f t="shared" si="2"/>
        <v>31424502</v>
      </c>
      <c r="M21" s="818"/>
      <c r="N21" s="824"/>
      <c r="O21" s="161">
        <v>527</v>
      </c>
      <c r="P21" s="815"/>
      <c r="Q21" s="294">
        <v>76494</v>
      </c>
      <c r="R21" s="67">
        <f t="shared" si="3"/>
        <v>40312338</v>
      </c>
      <c r="S21" s="67">
        <f>IF(Q21&lt;'BS 2015'!$F$39,Q21*O21,'BS 2015'!$F$39*O21)</f>
        <v>20350632</v>
      </c>
      <c r="T21" s="49">
        <f t="shared" si="4"/>
        <v>19961706</v>
      </c>
      <c r="U21" s="824"/>
      <c r="V21" s="161">
        <v>324</v>
      </c>
      <c r="W21" s="815"/>
      <c r="X21" s="294">
        <v>73995</v>
      </c>
      <c r="Y21" s="67">
        <f t="shared" si="5"/>
        <v>23974380</v>
      </c>
      <c r="Z21" s="67">
        <f>IF(X21&lt;'BS 2015'!$F$39,X21*V21,'BS 2015'!$F$39*V21)</f>
        <v>12511584</v>
      </c>
      <c r="AA21" s="49">
        <f t="shared" si="6"/>
        <v>11462796</v>
      </c>
    </row>
    <row r="22" spans="2:27" x14ac:dyDescent="0.2">
      <c r="B22" s="866"/>
      <c r="C22" s="821"/>
      <c r="D22" s="149" t="s">
        <v>108</v>
      </c>
      <c r="E22" s="824"/>
      <c r="F22" s="161">
        <v>521</v>
      </c>
      <c r="G22" s="815"/>
      <c r="H22" s="294">
        <v>90084</v>
      </c>
      <c r="I22" s="142">
        <f t="shared" si="0"/>
        <v>46916392</v>
      </c>
      <c r="J22" s="71">
        <f t="shared" si="1"/>
        <v>20118936</v>
      </c>
      <c r="K22" s="818"/>
      <c r="L22" s="71">
        <f t="shared" si="2"/>
        <v>26797456</v>
      </c>
      <c r="M22" s="818"/>
      <c r="N22" s="824"/>
      <c r="O22" s="161">
        <v>327</v>
      </c>
      <c r="P22" s="815"/>
      <c r="Q22" s="294">
        <v>92436</v>
      </c>
      <c r="R22" s="67">
        <f t="shared" si="3"/>
        <v>30226572</v>
      </c>
      <c r="S22" s="67">
        <f>IF(Q22&lt;'BS 2015'!$F$39,Q22*O22,'BS 2015'!$F$39*O22)</f>
        <v>12627432</v>
      </c>
      <c r="T22" s="49">
        <f t="shared" si="4"/>
        <v>17599140</v>
      </c>
      <c r="U22" s="824"/>
      <c r="V22" s="161">
        <v>194</v>
      </c>
      <c r="W22" s="815"/>
      <c r="X22" s="294">
        <v>86030</v>
      </c>
      <c r="Y22" s="67">
        <f t="shared" si="5"/>
        <v>16689820</v>
      </c>
      <c r="Z22" s="67">
        <f>IF(X22&lt;'BS 2015'!$F$39,X22*V22,'BS 2015'!$F$39*V22)</f>
        <v>7491504</v>
      </c>
      <c r="AA22" s="49">
        <f t="shared" si="6"/>
        <v>9198316</v>
      </c>
    </row>
    <row r="23" spans="2:27" x14ac:dyDescent="0.2">
      <c r="B23" s="867"/>
      <c r="C23" s="841"/>
      <c r="D23" s="298" t="s">
        <v>109</v>
      </c>
      <c r="E23" s="825"/>
      <c r="F23" s="162">
        <v>148</v>
      </c>
      <c r="G23" s="816"/>
      <c r="H23" s="295">
        <v>109076</v>
      </c>
      <c r="I23" s="143">
        <f t="shared" si="0"/>
        <v>16141170</v>
      </c>
      <c r="J23" s="72">
        <f t="shared" si="1"/>
        <v>5715168</v>
      </c>
      <c r="K23" s="819"/>
      <c r="L23" s="72">
        <f t="shared" si="2"/>
        <v>10426002</v>
      </c>
      <c r="M23" s="819"/>
      <c r="N23" s="825"/>
      <c r="O23" s="162">
        <v>103</v>
      </c>
      <c r="P23" s="816"/>
      <c r="Q23" s="295">
        <v>109515</v>
      </c>
      <c r="R23" s="68">
        <f t="shared" si="3"/>
        <v>11280045</v>
      </c>
      <c r="S23" s="68">
        <f>IF(Q23&lt;'BS 2015'!$F$39,Q23*O23,'BS 2015'!$F$39*O23)</f>
        <v>3977448</v>
      </c>
      <c r="T23" s="50">
        <f t="shared" si="4"/>
        <v>7302597</v>
      </c>
      <c r="U23" s="825"/>
      <c r="V23" s="162">
        <v>45</v>
      </c>
      <c r="W23" s="816"/>
      <c r="X23" s="295">
        <v>108025</v>
      </c>
      <c r="Y23" s="68">
        <f t="shared" si="5"/>
        <v>4861125</v>
      </c>
      <c r="Z23" s="68">
        <f>IF(X23&lt;'BS 2015'!$F$39,X23*V23,'BS 2015'!$F$39*V23)</f>
        <v>1737720</v>
      </c>
      <c r="AA23" s="50">
        <f t="shared" si="6"/>
        <v>3123405</v>
      </c>
    </row>
    <row r="24" spans="2:27" x14ac:dyDescent="0.2">
      <c r="B24" s="861" t="s">
        <v>110</v>
      </c>
      <c r="C24" s="862"/>
      <c r="D24" s="863"/>
      <c r="E24" s="138">
        <f>SUM(E11:E23)</f>
        <v>50817</v>
      </c>
      <c r="F24" s="74">
        <f>SUM(F11:F23)</f>
        <v>50817</v>
      </c>
      <c r="G24" s="64">
        <f>SUM(G11:G23)</f>
        <v>0</v>
      </c>
      <c r="H24" s="79"/>
      <c r="I24" s="145">
        <f>SUM(I11:I23)</f>
        <v>1831777075</v>
      </c>
      <c r="J24" s="73">
        <f>SUM(J11:J23)</f>
        <v>1627115468</v>
      </c>
      <c r="K24" s="69">
        <f>SUM(K11:K23)</f>
        <v>1627115468</v>
      </c>
      <c r="L24" s="73">
        <f>SUM(L11:L23)</f>
        <v>204661607</v>
      </c>
      <c r="M24" s="69">
        <f>SUM(M11:M23)</f>
        <v>204661607</v>
      </c>
      <c r="N24" s="138">
        <v>12734</v>
      </c>
      <c r="O24" s="74">
        <f>SUM(O11:O23)</f>
        <v>12734</v>
      </c>
      <c r="P24" s="64">
        <f>N24-O24</f>
        <v>0</v>
      </c>
      <c r="Q24" s="79"/>
      <c r="R24" s="74">
        <f>SUM(R11:R23)</f>
        <v>553124841</v>
      </c>
      <c r="S24" s="74">
        <f>SUM(S11:S23)</f>
        <v>441357255</v>
      </c>
      <c r="T24" s="64">
        <f>SUM(T11:T23)</f>
        <v>111767586</v>
      </c>
      <c r="U24" s="138">
        <v>38083</v>
      </c>
      <c r="V24" s="74">
        <f>SUM(V11:V23)</f>
        <v>38083</v>
      </c>
      <c r="W24" s="64">
        <f>U24-V24</f>
        <v>0</v>
      </c>
      <c r="X24" s="79"/>
      <c r="Y24" s="74">
        <f>SUM(Y11:Y23)</f>
        <v>1278652234</v>
      </c>
      <c r="Z24" s="74">
        <f>SUM(Z11:Z23)</f>
        <v>1185758213</v>
      </c>
      <c r="AA24" s="64">
        <f>SUM(AA11:AA23)</f>
        <v>92894021</v>
      </c>
    </row>
    <row r="25" spans="2:27" s="300" customFormat="1" ht="5.0999999999999996" customHeight="1" x14ac:dyDescent="0.2">
      <c r="B25" s="278"/>
      <c r="C25" s="279"/>
      <c r="D25" s="280"/>
      <c r="E25" s="281"/>
      <c r="F25" s="282"/>
      <c r="G25" s="282"/>
      <c r="H25" s="282"/>
      <c r="I25" s="282"/>
      <c r="J25" s="282"/>
      <c r="K25" s="281"/>
      <c r="L25" s="282"/>
      <c r="M25" s="281"/>
      <c r="N25" s="281"/>
      <c r="O25" s="282"/>
      <c r="P25" s="282"/>
      <c r="Q25" s="282"/>
      <c r="R25" s="282"/>
      <c r="S25" s="282"/>
      <c r="T25" s="282"/>
      <c r="U25" s="281"/>
      <c r="V25" s="282"/>
      <c r="W25" s="282"/>
      <c r="X25" s="282"/>
      <c r="Y25" s="282"/>
      <c r="Z25" s="282"/>
      <c r="AA25" s="282"/>
    </row>
    <row r="26" spans="2:27" x14ac:dyDescent="0.2">
      <c r="B26" s="868" t="s">
        <v>111</v>
      </c>
      <c r="C26" s="843" t="s">
        <v>94</v>
      </c>
      <c r="D26" s="301" t="s">
        <v>112</v>
      </c>
      <c r="E26" s="133">
        <v>20</v>
      </c>
      <c r="F26" s="80">
        <f t="shared" ref="F26:F34" si="7">E26</f>
        <v>20</v>
      </c>
      <c r="G26" s="156">
        <f t="shared" ref="G26:G32" si="8">E26-F26</f>
        <v>0</v>
      </c>
      <c r="H26" s="292">
        <v>14104</v>
      </c>
      <c r="I26" s="140">
        <f t="shared" ref="I26:I34" si="9">R26+Y26</f>
        <v>282089</v>
      </c>
      <c r="J26" s="70">
        <f t="shared" ref="J26:J34" si="10">S26+Z26</f>
        <v>282089</v>
      </c>
      <c r="K26" s="876">
        <f>SUM(J26:J28)</f>
        <v>72837563</v>
      </c>
      <c r="L26" s="70">
        <f t="shared" ref="L26:L34" si="11">T26+AA26</f>
        <v>0</v>
      </c>
      <c r="M26" s="876">
        <f>SUM(L26:L28)</f>
        <v>0</v>
      </c>
      <c r="N26" s="133">
        <v>1</v>
      </c>
      <c r="O26" s="80">
        <v>1</v>
      </c>
      <c r="P26" s="156">
        <f t="shared" ref="P26:P35" si="12">N26-O26</f>
        <v>0</v>
      </c>
      <c r="Q26" s="292">
        <v>1706</v>
      </c>
      <c r="R26" s="66">
        <f t="shared" ref="R26:R34" si="13">Q26*O26</f>
        <v>1706</v>
      </c>
      <c r="S26" s="66">
        <f>IF(Q26&lt;'BS 2015'!$F$39,Q26*O26,'BS 2015'!$F$39*O26)</f>
        <v>1706</v>
      </c>
      <c r="T26" s="48">
        <f t="shared" ref="T26:T32" si="14">R26-S26</f>
        <v>0</v>
      </c>
      <c r="U26" s="133">
        <v>19</v>
      </c>
      <c r="V26" s="80">
        <v>19</v>
      </c>
      <c r="W26" s="156">
        <f t="shared" ref="W26:W35" si="15">U26-V26</f>
        <v>0</v>
      </c>
      <c r="X26" s="292">
        <v>14757</v>
      </c>
      <c r="Y26" s="66">
        <f t="shared" ref="Y26:Y31" si="16">X26*V26</f>
        <v>280383</v>
      </c>
      <c r="Z26" s="66">
        <f>IF(X26&lt;'BS 2015'!$F$39,X26*V26,'BS 2015'!$F$39*V26)</f>
        <v>280383</v>
      </c>
      <c r="AA26" s="48">
        <f t="shared" ref="AA26:AA32" si="17">Y26-Z26</f>
        <v>0</v>
      </c>
    </row>
    <row r="27" spans="2:27" x14ac:dyDescent="0.2">
      <c r="B27" s="866"/>
      <c r="C27" s="844"/>
      <c r="D27" s="302" t="s">
        <v>113</v>
      </c>
      <c r="E27" s="134">
        <v>238</v>
      </c>
      <c r="F27" s="81">
        <f t="shared" si="7"/>
        <v>238</v>
      </c>
      <c r="G27" s="157">
        <f t="shared" si="8"/>
        <v>0</v>
      </c>
      <c r="H27" s="294">
        <v>19130</v>
      </c>
      <c r="I27" s="142">
        <f t="shared" si="9"/>
        <v>4552282</v>
      </c>
      <c r="J27" s="71">
        <f t="shared" si="10"/>
        <v>4552282</v>
      </c>
      <c r="K27" s="877"/>
      <c r="L27" s="71">
        <f t="shared" si="11"/>
        <v>0</v>
      </c>
      <c r="M27" s="877"/>
      <c r="N27" s="134">
        <v>44</v>
      </c>
      <c r="O27" s="81">
        <v>44</v>
      </c>
      <c r="P27" s="157">
        <f t="shared" si="12"/>
        <v>0</v>
      </c>
      <c r="Q27" s="294">
        <v>20742</v>
      </c>
      <c r="R27" s="67">
        <f t="shared" si="13"/>
        <v>912648</v>
      </c>
      <c r="S27" s="67">
        <f>IF(Q27&lt;'BS 2015'!$F$39,Q27*O27,'BS 2015'!$F$39*O27)</f>
        <v>912648</v>
      </c>
      <c r="T27" s="49">
        <f t="shared" si="14"/>
        <v>0</v>
      </c>
      <c r="U27" s="134">
        <v>194</v>
      </c>
      <c r="V27" s="81">
        <v>194</v>
      </c>
      <c r="W27" s="157">
        <f t="shared" si="15"/>
        <v>0</v>
      </c>
      <c r="X27" s="294">
        <v>18761</v>
      </c>
      <c r="Y27" s="67">
        <f t="shared" si="16"/>
        <v>3639634</v>
      </c>
      <c r="Z27" s="67">
        <f>IF(X27&lt;'BS 2015'!$F$39,X27*V27,'BS 2015'!$F$39*V27)</f>
        <v>3639634</v>
      </c>
      <c r="AA27" s="49">
        <f t="shared" si="17"/>
        <v>0</v>
      </c>
    </row>
    <row r="28" spans="2:27" x14ac:dyDescent="0.2">
      <c r="B28" s="866"/>
      <c r="C28" s="844"/>
      <c r="D28" s="247" t="s">
        <v>114</v>
      </c>
      <c r="E28" s="308">
        <v>2986</v>
      </c>
      <c r="F28" s="309">
        <f t="shared" si="7"/>
        <v>2986</v>
      </c>
      <c r="G28" s="310">
        <f t="shared" si="8"/>
        <v>0</v>
      </c>
      <c r="H28" s="311">
        <v>22772</v>
      </c>
      <c r="I28" s="312">
        <f t="shared" si="9"/>
        <v>68003192</v>
      </c>
      <c r="J28" s="313">
        <f t="shared" si="10"/>
        <v>68003192</v>
      </c>
      <c r="K28" s="878"/>
      <c r="L28" s="313">
        <f t="shared" si="11"/>
        <v>0</v>
      </c>
      <c r="M28" s="878"/>
      <c r="N28" s="308">
        <v>691</v>
      </c>
      <c r="O28" s="309">
        <v>691</v>
      </c>
      <c r="P28" s="310">
        <f t="shared" si="12"/>
        <v>0</v>
      </c>
      <c r="Q28" s="311">
        <v>25172</v>
      </c>
      <c r="R28" s="314">
        <f t="shared" si="13"/>
        <v>17393852</v>
      </c>
      <c r="S28" s="314">
        <f>IF(Q28&lt;'BS 2015'!$F$39,Q28*O28,'BS 2015'!$F$39*O28)</f>
        <v>17393852</v>
      </c>
      <c r="T28" s="315">
        <f t="shared" si="14"/>
        <v>0</v>
      </c>
      <c r="U28" s="308">
        <v>2295</v>
      </c>
      <c r="V28" s="309">
        <v>2295</v>
      </c>
      <c r="W28" s="310">
        <f t="shared" si="15"/>
        <v>0</v>
      </c>
      <c r="X28" s="311">
        <v>22052</v>
      </c>
      <c r="Y28" s="314">
        <f t="shared" si="16"/>
        <v>50609340</v>
      </c>
      <c r="Z28" s="314">
        <f>IF(X28&lt;'BS 2015'!$F$39,X28*V28,'BS 2015'!$F$39*V28)</f>
        <v>50609340</v>
      </c>
      <c r="AA28" s="315">
        <f t="shared" si="17"/>
        <v>0</v>
      </c>
    </row>
    <row r="29" spans="2:27" x14ac:dyDescent="0.2">
      <c r="B29" s="866"/>
      <c r="C29" s="843" t="s">
        <v>101</v>
      </c>
      <c r="D29" s="304" t="s">
        <v>115</v>
      </c>
      <c r="E29" s="305">
        <v>1064</v>
      </c>
      <c r="F29" s="306">
        <f t="shared" si="7"/>
        <v>1064</v>
      </c>
      <c r="G29" s="307">
        <f t="shared" si="8"/>
        <v>0</v>
      </c>
      <c r="H29" s="296">
        <v>29778</v>
      </c>
      <c r="I29" s="144">
        <f t="shared" si="9"/>
        <v>31669878</v>
      </c>
      <c r="J29" s="130">
        <f t="shared" si="10"/>
        <v>31669878</v>
      </c>
      <c r="K29" s="845">
        <f>SUM(J29:J31)</f>
        <v>42470634</v>
      </c>
      <c r="L29" s="130">
        <f t="shared" si="11"/>
        <v>0</v>
      </c>
      <c r="M29" s="845">
        <f>SUM(L29:L31)</f>
        <v>0</v>
      </c>
      <c r="N29" s="305">
        <v>278</v>
      </c>
      <c r="O29" s="306">
        <v>278</v>
      </c>
      <c r="P29" s="307">
        <f t="shared" si="12"/>
        <v>0</v>
      </c>
      <c r="Q29" s="296">
        <v>32691</v>
      </c>
      <c r="R29" s="131">
        <f t="shared" si="13"/>
        <v>9088098</v>
      </c>
      <c r="S29" s="131">
        <f>IF(Q29&lt;'BS 2015'!$F$39,Q29*O29,'BS 2015'!$F$39*O29)</f>
        <v>9088098</v>
      </c>
      <c r="T29" s="132">
        <f t="shared" si="14"/>
        <v>0</v>
      </c>
      <c r="U29" s="305">
        <v>786</v>
      </c>
      <c r="V29" s="306">
        <v>786</v>
      </c>
      <c r="W29" s="307">
        <f t="shared" si="15"/>
        <v>0</v>
      </c>
      <c r="X29" s="296">
        <v>28730</v>
      </c>
      <c r="Y29" s="131">
        <f t="shared" si="16"/>
        <v>22581780</v>
      </c>
      <c r="Z29" s="131">
        <f>IF(X29&lt;'BS 2015'!$F$39,X29*V29,'BS 2015'!$F$39*V29)</f>
        <v>22581780</v>
      </c>
      <c r="AA29" s="132">
        <f t="shared" si="17"/>
        <v>0</v>
      </c>
    </row>
    <row r="30" spans="2:27" x14ac:dyDescent="0.2">
      <c r="B30" s="866"/>
      <c r="C30" s="844"/>
      <c r="D30" s="302" t="s">
        <v>116</v>
      </c>
      <c r="E30" s="134">
        <v>278</v>
      </c>
      <c r="F30" s="81">
        <f t="shared" si="7"/>
        <v>278</v>
      </c>
      <c r="G30" s="157">
        <f t="shared" si="8"/>
        <v>0</v>
      </c>
      <c r="H30" s="294">
        <v>31836</v>
      </c>
      <c r="I30" s="142">
        <f t="shared" si="9"/>
        <v>8853606</v>
      </c>
      <c r="J30" s="71">
        <f t="shared" si="10"/>
        <v>8853606</v>
      </c>
      <c r="K30" s="846"/>
      <c r="L30" s="71">
        <f t="shared" si="11"/>
        <v>0</v>
      </c>
      <c r="M30" s="846"/>
      <c r="N30" s="134">
        <v>72</v>
      </c>
      <c r="O30" s="81">
        <v>72</v>
      </c>
      <c r="P30" s="157">
        <f t="shared" si="12"/>
        <v>0</v>
      </c>
      <c r="Q30" s="294">
        <v>36524</v>
      </c>
      <c r="R30" s="67">
        <f t="shared" si="13"/>
        <v>2629728</v>
      </c>
      <c r="S30" s="67">
        <f>IF(Q30&lt;'BS 2015'!$F$39,Q30*O30,'BS 2015'!$F$39*O30)</f>
        <v>2629728</v>
      </c>
      <c r="T30" s="49">
        <f t="shared" si="14"/>
        <v>0</v>
      </c>
      <c r="U30" s="134">
        <v>206</v>
      </c>
      <c r="V30" s="81">
        <v>206</v>
      </c>
      <c r="W30" s="157">
        <f t="shared" si="15"/>
        <v>0</v>
      </c>
      <c r="X30" s="294">
        <v>30213</v>
      </c>
      <c r="Y30" s="67">
        <f t="shared" si="16"/>
        <v>6223878</v>
      </c>
      <c r="Z30" s="67">
        <f>IF(X30&lt;'BS 2015'!$F$39,X30*V30,'BS 2015'!$F$39*V30)</f>
        <v>6223878</v>
      </c>
      <c r="AA30" s="49">
        <f t="shared" si="17"/>
        <v>0</v>
      </c>
    </row>
    <row r="31" spans="2:27" x14ac:dyDescent="0.2">
      <c r="B31" s="866"/>
      <c r="C31" s="844"/>
      <c r="D31" s="247" t="s">
        <v>117</v>
      </c>
      <c r="E31" s="136">
        <v>62</v>
      </c>
      <c r="F31" s="82">
        <f t="shared" si="7"/>
        <v>62</v>
      </c>
      <c r="G31" s="158">
        <f t="shared" si="8"/>
        <v>0</v>
      </c>
      <c r="H31" s="295">
        <v>31227</v>
      </c>
      <c r="I31" s="143">
        <f t="shared" si="9"/>
        <v>1947150</v>
      </c>
      <c r="J31" s="72">
        <f t="shared" si="10"/>
        <v>1947150</v>
      </c>
      <c r="K31" s="847"/>
      <c r="L31" s="72">
        <f t="shared" si="11"/>
        <v>0</v>
      </c>
      <c r="M31" s="847"/>
      <c r="N31" s="136">
        <v>35</v>
      </c>
      <c r="O31" s="82">
        <v>35</v>
      </c>
      <c r="P31" s="158">
        <f t="shared" si="12"/>
        <v>0</v>
      </c>
      <c r="Q31" s="295">
        <v>38349</v>
      </c>
      <c r="R31" s="68">
        <f t="shared" si="13"/>
        <v>1342215</v>
      </c>
      <c r="S31" s="68">
        <f>IF(Q31&lt;'BS 2015'!$F$39,Q31*O31,'BS 2015'!$F$39*O31)</f>
        <v>1342215</v>
      </c>
      <c r="T31" s="50">
        <f t="shared" si="14"/>
        <v>0</v>
      </c>
      <c r="U31" s="136">
        <v>27</v>
      </c>
      <c r="V31" s="82">
        <v>27</v>
      </c>
      <c r="W31" s="158">
        <f t="shared" si="15"/>
        <v>0</v>
      </c>
      <c r="X31" s="295">
        <v>22405</v>
      </c>
      <c r="Y31" s="68">
        <f t="shared" si="16"/>
        <v>604935</v>
      </c>
      <c r="Z31" s="68">
        <f>IF(X31&lt;'BS 2015'!$F$39,X31*V31,'BS 2015'!$F$39*V31)</f>
        <v>604935</v>
      </c>
      <c r="AA31" s="50">
        <f t="shared" si="17"/>
        <v>0</v>
      </c>
    </row>
    <row r="32" spans="2:27" x14ac:dyDescent="0.2">
      <c r="B32" s="866"/>
      <c r="C32" s="843" t="s">
        <v>105</v>
      </c>
      <c r="D32" s="304" t="s">
        <v>118</v>
      </c>
      <c r="E32" s="305">
        <v>10</v>
      </c>
      <c r="F32" s="306">
        <f t="shared" si="7"/>
        <v>10</v>
      </c>
      <c r="G32" s="307">
        <f t="shared" si="8"/>
        <v>0</v>
      </c>
      <c r="H32" s="296">
        <v>21424</v>
      </c>
      <c r="I32" s="144">
        <f t="shared" si="9"/>
        <v>280330</v>
      </c>
      <c r="J32" s="130">
        <f t="shared" si="10"/>
        <v>280330</v>
      </c>
      <c r="K32" s="845">
        <f>SUM(J32:J34)</f>
        <v>280330</v>
      </c>
      <c r="L32" s="130">
        <f t="shared" si="11"/>
        <v>0</v>
      </c>
      <c r="M32" s="845">
        <f>SUM(L32:L34)</f>
        <v>0</v>
      </c>
      <c r="N32" s="305">
        <v>8</v>
      </c>
      <c r="O32" s="306">
        <v>8</v>
      </c>
      <c r="P32" s="307">
        <f t="shared" si="12"/>
        <v>0</v>
      </c>
      <c r="Q32" s="296">
        <v>28033</v>
      </c>
      <c r="R32" s="131">
        <f t="shared" si="13"/>
        <v>224264</v>
      </c>
      <c r="S32" s="131">
        <f>IF(Q32&lt;'BS 2015'!$F$39,Q32*O32,'BS 2015'!$F$39*O32)</f>
        <v>224264</v>
      </c>
      <c r="T32" s="132">
        <f t="shared" si="14"/>
        <v>0</v>
      </c>
      <c r="U32" s="305">
        <v>2</v>
      </c>
      <c r="V32" s="306">
        <v>2</v>
      </c>
      <c r="W32" s="307">
        <f t="shared" si="15"/>
        <v>0</v>
      </c>
      <c r="X32" s="316" t="s">
        <v>119</v>
      </c>
      <c r="Y32" s="317">
        <f>Q32*V32</f>
        <v>56066</v>
      </c>
      <c r="Z32" s="317">
        <f>IF(Q32&lt;'BS 2015'!$F$39,Q32*V32,'BS 2015'!$F$39*V32)</f>
        <v>56066</v>
      </c>
      <c r="AA32" s="132">
        <f t="shared" si="17"/>
        <v>0</v>
      </c>
    </row>
    <row r="33" spans="2:27" x14ac:dyDescent="0.2">
      <c r="B33" s="866"/>
      <c r="C33" s="844"/>
      <c r="D33" s="302" t="s">
        <v>120</v>
      </c>
      <c r="E33" s="212">
        <v>0</v>
      </c>
      <c r="F33" s="209">
        <f t="shared" si="7"/>
        <v>0</v>
      </c>
      <c r="G33" s="207">
        <f t="shared" ref="G33:G34" si="18">E33-F33</f>
        <v>0</v>
      </c>
      <c r="H33" s="297">
        <v>0</v>
      </c>
      <c r="I33" s="210">
        <f t="shared" si="9"/>
        <v>0</v>
      </c>
      <c r="J33" s="211">
        <f t="shared" si="10"/>
        <v>0</v>
      </c>
      <c r="K33" s="846"/>
      <c r="L33" s="211">
        <f t="shared" si="11"/>
        <v>0</v>
      </c>
      <c r="M33" s="846"/>
      <c r="N33" s="212">
        <v>0</v>
      </c>
      <c r="O33" s="209">
        <v>0</v>
      </c>
      <c r="P33" s="207">
        <f t="shared" si="12"/>
        <v>0</v>
      </c>
      <c r="Q33" s="297">
        <v>0</v>
      </c>
      <c r="R33" s="213">
        <f t="shared" si="13"/>
        <v>0</v>
      </c>
      <c r="S33" s="213">
        <f>IF(Q33&lt;'BS 2015'!$F$39,Q33*O33,'BS 2015'!$F$39*O33)</f>
        <v>0</v>
      </c>
      <c r="T33" s="208">
        <f t="shared" ref="T33:T34" si="19">R33-S33</f>
        <v>0</v>
      </c>
      <c r="U33" s="212">
        <v>0</v>
      </c>
      <c r="V33" s="209">
        <v>0</v>
      </c>
      <c r="W33" s="207">
        <f t="shared" si="15"/>
        <v>0</v>
      </c>
      <c r="X33" s="297">
        <v>0</v>
      </c>
      <c r="Y33" s="213">
        <f t="shared" ref="Y33:Y34" si="20">X33*V33</f>
        <v>0</v>
      </c>
      <c r="Z33" s="213">
        <f>IF(X33&lt;'BS 2015'!$F$39,X33*V33,'BS 2015'!$F$39*V33)</f>
        <v>0</v>
      </c>
      <c r="AA33" s="208">
        <f t="shared" ref="AA33:AA34" si="21">Y33-Z33</f>
        <v>0</v>
      </c>
    </row>
    <row r="34" spans="2:27" x14ac:dyDescent="0.2">
      <c r="B34" s="867"/>
      <c r="C34" s="844"/>
      <c r="D34" s="303" t="s">
        <v>121</v>
      </c>
      <c r="E34" s="136">
        <v>0</v>
      </c>
      <c r="F34" s="82">
        <f t="shared" si="7"/>
        <v>0</v>
      </c>
      <c r="G34" s="158">
        <f t="shared" si="18"/>
        <v>0</v>
      </c>
      <c r="H34" s="295">
        <v>0</v>
      </c>
      <c r="I34" s="143">
        <f t="shared" si="9"/>
        <v>0</v>
      </c>
      <c r="J34" s="72">
        <f t="shared" si="10"/>
        <v>0</v>
      </c>
      <c r="K34" s="847"/>
      <c r="L34" s="72">
        <f t="shared" si="11"/>
        <v>0</v>
      </c>
      <c r="M34" s="847"/>
      <c r="N34" s="136">
        <v>0</v>
      </c>
      <c r="O34" s="82">
        <v>0</v>
      </c>
      <c r="P34" s="158">
        <f t="shared" si="12"/>
        <v>0</v>
      </c>
      <c r="Q34" s="295">
        <v>0</v>
      </c>
      <c r="R34" s="68">
        <f t="shared" si="13"/>
        <v>0</v>
      </c>
      <c r="S34" s="68">
        <f>IF(Q34&lt;'BS 2015'!$F$39,Q34*O34,'BS 2015'!$F$39*O34)</f>
        <v>0</v>
      </c>
      <c r="T34" s="50">
        <f t="shared" si="19"/>
        <v>0</v>
      </c>
      <c r="U34" s="136">
        <v>0</v>
      </c>
      <c r="V34" s="82">
        <v>0</v>
      </c>
      <c r="W34" s="158">
        <f t="shared" si="15"/>
        <v>0</v>
      </c>
      <c r="X34" s="295">
        <v>0</v>
      </c>
      <c r="Y34" s="68">
        <f t="shared" si="20"/>
        <v>0</v>
      </c>
      <c r="Z34" s="68">
        <f>IF(X34&lt;'BS 2015'!$F$39,X34*V34,'BS 2015'!$F$39*V34)</f>
        <v>0</v>
      </c>
      <c r="AA34" s="50">
        <f t="shared" si="21"/>
        <v>0</v>
      </c>
    </row>
    <row r="35" spans="2:27" x14ac:dyDescent="0.2">
      <c r="B35" s="861" t="s">
        <v>122</v>
      </c>
      <c r="C35" s="864"/>
      <c r="D35" s="863"/>
      <c r="E35" s="152">
        <f>SUM(E26:E34)+1</f>
        <v>4659</v>
      </c>
      <c r="F35" s="76">
        <f>SUM(F26:F34)+1</f>
        <v>4659</v>
      </c>
      <c r="G35" s="77">
        <f>E35-F35</f>
        <v>0</v>
      </c>
      <c r="H35" s="155"/>
      <c r="I35" s="146">
        <f>SUM(I26:I34)</f>
        <v>115588527</v>
      </c>
      <c r="J35" s="75">
        <f>SUM(J26:J34)</f>
        <v>115588527</v>
      </c>
      <c r="K35" s="78">
        <f>SUM(K26:K34)</f>
        <v>115588527</v>
      </c>
      <c r="L35" s="75">
        <f>SUM(L26:L34)</f>
        <v>0</v>
      </c>
      <c r="M35" s="78">
        <f>SUM(M26:M34)</f>
        <v>0</v>
      </c>
      <c r="N35" s="139">
        <v>1129</v>
      </c>
      <c r="O35" s="76">
        <f>SUM(O26:O34)</f>
        <v>1129</v>
      </c>
      <c r="P35" s="77">
        <f t="shared" si="12"/>
        <v>0</v>
      </c>
      <c r="Q35" s="83"/>
      <c r="R35" s="76">
        <f>SUM(R26:R34)</f>
        <v>31592511</v>
      </c>
      <c r="S35" s="76">
        <f>SUM(S26:S34)</f>
        <v>31592511</v>
      </c>
      <c r="T35" s="77">
        <f>SUM(T26:T34)</f>
        <v>0</v>
      </c>
      <c r="U35" s="152">
        <v>3530</v>
      </c>
      <c r="V35" s="153">
        <f>SUM(V26:V34)+1</f>
        <v>3530</v>
      </c>
      <c r="W35" s="154">
        <f t="shared" si="15"/>
        <v>0</v>
      </c>
      <c r="X35" s="83"/>
      <c r="Y35" s="76">
        <f>SUM(Y26:Y34)</f>
        <v>83996016</v>
      </c>
      <c r="Z35" s="76">
        <f>SUM(Z26:Z34)</f>
        <v>83996016</v>
      </c>
      <c r="AA35" s="77">
        <f>SUM(AA26:AA34)</f>
        <v>0</v>
      </c>
    </row>
    <row r="36" spans="2:27" s="300" customFormat="1" ht="5.0999999999999996" customHeight="1" x14ac:dyDescent="0.2">
      <c r="B36" s="283"/>
      <c r="C36" s="284"/>
      <c r="D36" s="285"/>
      <c r="E36" s="286"/>
      <c r="F36" s="287"/>
      <c r="G36" s="287"/>
      <c r="H36" s="288"/>
      <c r="I36" s="287"/>
      <c r="J36" s="287"/>
      <c r="K36" s="289"/>
      <c r="L36" s="287"/>
      <c r="M36" s="289"/>
      <c r="N36" s="290"/>
      <c r="O36" s="287"/>
      <c r="P36" s="287"/>
      <c r="Q36" s="287"/>
      <c r="R36" s="287"/>
      <c r="S36" s="287"/>
      <c r="T36" s="287"/>
      <c r="U36" s="286"/>
      <c r="V36" s="291"/>
      <c r="W36" s="291"/>
      <c r="X36" s="287"/>
      <c r="Y36" s="287"/>
      <c r="Z36" s="287"/>
      <c r="AA36" s="287"/>
    </row>
    <row r="37" spans="2:27" x14ac:dyDescent="0.2">
      <c r="B37" s="869" t="s">
        <v>123</v>
      </c>
      <c r="C37" s="870"/>
      <c r="D37" s="871"/>
      <c r="E37" s="152">
        <f>SUM(E24,E35)</f>
        <v>55476</v>
      </c>
      <c r="F37" s="76">
        <f>SUM(F24,F35)</f>
        <v>55476</v>
      </c>
      <c r="G37" s="77">
        <f>E37-F37</f>
        <v>0</v>
      </c>
      <c r="H37" s="155">
        <v>35052</v>
      </c>
      <c r="I37" s="146">
        <f t="shared" ref="I37:O37" si="22">SUM(I24,I35)</f>
        <v>1947365602</v>
      </c>
      <c r="J37" s="75">
        <f t="shared" si="22"/>
        <v>1742703995</v>
      </c>
      <c r="K37" s="77">
        <f t="shared" si="22"/>
        <v>1742703995</v>
      </c>
      <c r="L37" s="75">
        <f t="shared" si="22"/>
        <v>204661607</v>
      </c>
      <c r="M37" s="77">
        <f t="shared" si="22"/>
        <v>204661607</v>
      </c>
      <c r="N37" s="139">
        <f t="shared" si="22"/>
        <v>13863</v>
      </c>
      <c r="O37" s="76">
        <f t="shared" si="22"/>
        <v>13863</v>
      </c>
      <c r="P37" s="77">
        <f>N37-O37</f>
        <v>0</v>
      </c>
      <c r="Q37" s="83">
        <v>42164</v>
      </c>
      <c r="R37" s="76">
        <f>SUM(R24,R35)</f>
        <v>584717352</v>
      </c>
      <c r="S37" s="76">
        <f>SUM(S24,S35)</f>
        <v>472949766</v>
      </c>
      <c r="T37" s="77">
        <f>SUM(T24,T35)</f>
        <v>111767586</v>
      </c>
      <c r="U37" s="152">
        <f>SUM(U24,U35)</f>
        <v>41613</v>
      </c>
      <c r="V37" s="153">
        <f>SUM(V24,V35)</f>
        <v>41613</v>
      </c>
      <c r="W37" s="154">
        <f>U37-V37</f>
        <v>0</v>
      </c>
      <c r="X37" s="83">
        <v>32674</v>
      </c>
      <c r="Y37" s="76">
        <f>SUM(Y24,Y35)</f>
        <v>1362648250</v>
      </c>
      <c r="Z37" s="76">
        <f>SUM(Z24,Z35)</f>
        <v>1269754229</v>
      </c>
      <c r="AA37" s="77">
        <f>SUM(AA24,AA35)</f>
        <v>92894021</v>
      </c>
    </row>
    <row r="38" spans="2:27" ht="5.0999999999999996" customHeight="1" x14ac:dyDescent="0.2"/>
    <row r="39" spans="2:27" x14ac:dyDescent="0.2">
      <c r="B39" s="848" t="s">
        <v>124</v>
      </c>
      <c r="C39" s="849"/>
      <c r="D39" s="319" t="s">
        <v>23</v>
      </c>
      <c r="E39" s="164"/>
      <c r="F39" s="165">
        <f>38616</f>
        <v>38616</v>
      </c>
      <c r="H39" s="318">
        <f>F39/12</f>
        <v>3218</v>
      </c>
    </row>
    <row r="40" spans="2:27" x14ac:dyDescent="0.2">
      <c r="B40" s="850"/>
      <c r="C40" s="851"/>
      <c r="D40" s="320" t="s">
        <v>24</v>
      </c>
      <c r="E40" s="166">
        <f>F39</f>
        <v>38616</v>
      </c>
      <c r="F40" s="135">
        <f>F39*4</f>
        <v>154464</v>
      </c>
      <c r="H40" s="318">
        <f t="shared" ref="H40:H41" si="23">F40/12</f>
        <v>12872</v>
      </c>
    </row>
    <row r="41" spans="2:27" x14ac:dyDescent="0.2">
      <c r="B41" s="852"/>
      <c r="C41" s="853"/>
      <c r="D41" s="321" t="s">
        <v>25</v>
      </c>
      <c r="E41" s="167">
        <f>F40</f>
        <v>154464</v>
      </c>
      <c r="F41" s="137">
        <f>F39*8</f>
        <v>308928</v>
      </c>
      <c r="H41" s="318">
        <f t="shared" si="23"/>
        <v>25744</v>
      </c>
    </row>
    <row r="42" spans="2:27" ht="5.0999999999999996" customHeight="1" x14ac:dyDescent="0.2"/>
    <row r="43" spans="2:27" x14ac:dyDescent="0.2">
      <c r="K43" s="318"/>
    </row>
  </sheetData>
  <mergeCells count="75">
    <mergeCell ref="M26:M28"/>
    <mergeCell ref="K26:K28"/>
    <mergeCell ref="K17:K19"/>
    <mergeCell ref="B39:C41"/>
    <mergeCell ref="B4:D4"/>
    <mergeCell ref="B5:C9"/>
    <mergeCell ref="B24:D24"/>
    <mergeCell ref="B35:D35"/>
    <mergeCell ref="B11:B23"/>
    <mergeCell ref="B26:B34"/>
    <mergeCell ref="C26:C28"/>
    <mergeCell ref="C29:C31"/>
    <mergeCell ref="B37:D37"/>
    <mergeCell ref="E4:M4"/>
    <mergeCell ref="G17:G19"/>
    <mergeCell ref="G20:G23"/>
    <mergeCell ref="C17:C19"/>
    <mergeCell ref="C32:C34"/>
    <mergeCell ref="E5:G5"/>
    <mergeCell ref="K29:K31"/>
    <mergeCell ref="K32:K34"/>
    <mergeCell ref="H5:H9"/>
    <mergeCell ref="I5:I9"/>
    <mergeCell ref="J5:J9"/>
    <mergeCell ref="M32:M34"/>
    <mergeCell ref="M29:M31"/>
    <mergeCell ref="K20:K23"/>
    <mergeCell ref="M17:M19"/>
    <mergeCell ref="M20:M23"/>
    <mergeCell ref="W20:W23"/>
    <mergeCell ref="E20:E23"/>
    <mergeCell ref="C20:C23"/>
    <mergeCell ref="D5:D9"/>
    <mergeCell ref="L5:L9"/>
    <mergeCell ref="N20:N23"/>
    <mergeCell ref="U20:U23"/>
    <mergeCell ref="M5:M9"/>
    <mergeCell ref="U5:W5"/>
    <mergeCell ref="K5:K9"/>
    <mergeCell ref="P17:P19"/>
    <mergeCell ref="P20:P23"/>
    <mergeCell ref="E17:E19"/>
    <mergeCell ref="N17:N19"/>
    <mergeCell ref="N5:P5"/>
    <mergeCell ref="N6:N9"/>
    <mergeCell ref="O6:O9"/>
    <mergeCell ref="U17:U19"/>
    <mergeCell ref="P6:P9"/>
    <mergeCell ref="U4:AA4"/>
    <mergeCell ref="W11:W16"/>
    <mergeCell ref="W17:W19"/>
    <mergeCell ref="AA5:AA9"/>
    <mergeCell ref="Q5:Q9"/>
    <mergeCell ref="R5:R9"/>
    <mergeCell ref="S5:S9"/>
    <mergeCell ref="T5:T9"/>
    <mergeCell ref="X5:X9"/>
    <mergeCell ref="Y5:Y9"/>
    <mergeCell ref="Z5:Z9"/>
    <mergeCell ref="B2:AA2"/>
    <mergeCell ref="E6:E9"/>
    <mergeCell ref="F6:F9"/>
    <mergeCell ref="G6:G9"/>
    <mergeCell ref="G11:G16"/>
    <mergeCell ref="P11:P16"/>
    <mergeCell ref="K11:K16"/>
    <mergeCell ref="M11:M16"/>
    <mergeCell ref="C11:C16"/>
    <mergeCell ref="N11:N16"/>
    <mergeCell ref="U11:U16"/>
    <mergeCell ref="E11:E16"/>
    <mergeCell ref="U6:U9"/>
    <mergeCell ref="V6:V9"/>
    <mergeCell ref="W6:W9"/>
    <mergeCell ref="N4:T4"/>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Y24"/>
  <sheetViews>
    <sheetView showGridLines="0" workbookViewId="0"/>
  </sheetViews>
  <sheetFormatPr baseColWidth="10" defaultColWidth="11.42578125" defaultRowHeight="11.25" x14ac:dyDescent="0.2"/>
  <cols>
    <col min="1" max="1" width="0.85546875" style="299" customWidth="1"/>
    <col min="2" max="2" width="4.42578125" style="299" customWidth="1"/>
    <col min="3" max="3" width="11.140625" style="299" bestFit="1" customWidth="1"/>
    <col min="4" max="4" width="6.7109375" style="299" customWidth="1"/>
    <col min="5" max="6" width="6.140625" style="299" bestFit="1" customWidth="1"/>
    <col min="7" max="7" width="6.7109375" style="299" customWidth="1"/>
    <col min="8" max="8" width="9.7109375" style="299" customWidth="1"/>
    <col min="9" max="9" width="7.7109375" style="299" customWidth="1"/>
    <col min="10" max="10" width="9.7109375" style="299" customWidth="1"/>
    <col min="11" max="11" width="33.28515625" style="299" bestFit="1" customWidth="1"/>
    <col min="12" max="12" width="10.7109375" style="299" customWidth="1"/>
    <col min="13" max="14" width="8.7109375" style="299" customWidth="1"/>
    <col min="15" max="15" width="9.7109375" style="299" customWidth="1"/>
    <col min="16" max="17" width="8.7109375" style="299" customWidth="1"/>
    <col min="18" max="18" width="9.7109375" style="299" customWidth="1"/>
    <col min="19" max="19" width="8.7109375" style="299" customWidth="1"/>
    <col min="20" max="20" width="9.7109375" style="299" customWidth="1"/>
    <col min="21" max="21" width="6.7109375" style="299" bestFit="1" customWidth="1"/>
    <col min="22" max="22" width="9.5703125" style="299" bestFit="1" customWidth="1"/>
    <col min="23" max="23" width="7.28515625" style="299" bestFit="1" customWidth="1"/>
    <col min="24" max="24" width="8" style="299" bestFit="1" customWidth="1"/>
    <col min="25" max="25" width="17.7109375" style="299" customWidth="1"/>
    <col min="26" max="26" width="0.85546875" style="299" customWidth="1"/>
    <col min="27" max="16384" width="11.42578125" style="299"/>
  </cols>
  <sheetData>
    <row r="1" spans="2:25" ht="5.0999999999999996" customHeight="1" x14ac:dyDescent="0.2"/>
    <row r="2" spans="2:25" s="206" customFormat="1" ht="45" x14ac:dyDescent="0.2">
      <c r="B2" s="896" t="s">
        <v>125</v>
      </c>
      <c r="C2" s="897"/>
      <c r="D2" s="272" t="s">
        <v>126</v>
      </c>
      <c r="E2" s="245" t="s">
        <v>127</v>
      </c>
      <c r="F2" s="272" t="s">
        <v>128</v>
      </c>
      <c r="G2" s="272" t="s">
        <v>129</v>
      </c>
      <c r="H2" s="272" t="s">
        <v>130</v>
      </c>
      <c r="I2" s="272" t="s">
        <v>131</v>
      </c>
      <c r="J2" s="275" t="s">
        <v>132</v>
      </c>
      <c r="K2" s="276" t="s">
        <v>133</v>
      </c>
      <c r="L2" s="277" t="s">
        <v>134</v>
      </c>
      <c r="M2" s="271" t="s">
        <v>135</v>
      </c>
      <c r="N2" s="242" t="s">
        <v>136</v>
      </c>
      <c r="O2" s="243" t="s">
        <v>137</v>
      </c>
      <c r="P2" s="244" t="s">
        <v>138</v>
      </c>
      <c r="Q2" s="242" t="s">
        <v>139</v>
      </c>
      <c r="R2" s="243" t="s">
        <v>140</v>
      </c>
      <c r="S2" s="241" t="s">
        <v>141</v>
      </c>
      <c r="T2" s="243" t="s">
        <v>142</v>
      </c>
      <c r="U2" s="241" t="s">
        <v>143</v>
      </c>
      <c r="V2" s="245" t="s">
        <v>144</v>
      </c>
      <c r="W2" s="242" t="s">
        <v>131</v>
      </c>
      <c r="X2" s="246" t="s">
        <v>145</v>
      </c>
      <c r="Y2" s="239" t="s">
        <v>146</v>
      </c>
    </row>
    <row r="3" spans="2:25" ht="5.0999999999999996" customHeight="1" x14ac:dyDescent="0.2">
      <c r="B3" s="65"/>
      <c r="C3" s="65"/>
      <c r="D3" s="65"/>
      <c r="E3" s="65"/>
      <c r="F3" s="65"/>
      <c r="G3" s="65"/>
      <c r="H3" s="65"/>
      <c r="I3" s="65"/>
      <c r="J3" s="65"/>
      <c r="K3" s="47"/>
      <c r="L3" s="47"/>
      <c r="M3" s="217"/>
      <c r="N3" s="217"/>
      <c r="O3" s="217"/>
      <c r="P3" s="12"/>
      <c r="Q3" s="217"/>
      <c r="R3" s="217"/>
      <c r="S3" s="51"/>
      <c r="T3" s="51"/>
      <c r="U3" s="217"/>
      <c r="V3" s="206"/>
      <c r="W3" s="217"/>
      <c r="X3" s="218"/>
      <c r="Y3" s="264"/>
    </row>
    <row r="4" spans="2:25" x14ac:dyDescent="0.2">
      <c r="B4" s="899">
        <v>2016</v>
      </c>
      <c r="C4" s="893" t="s">
        <v>3</v>
      </c>
      <c r="D4" s="898">
        <v>0.6</v>
      </c>
      <c r="E4" s="886">
        <f>tarifs!$D$5</f>
        <v>118.17</v>
      </c>
      <c r="F4" s="886">
        <f>E4*D4</f>
        <v>70.902000000000001</v>
      </c>
      <c r="G4" s="885">
        <f>tarifs!$D$6</f>
        <v>1.03E-2</v>
      </c>
      <c r="H4" s="882">
        <f>F4/G4</f>
        <v>6883.6893203883492</v>
      </c>
      <c r="I4" s="886">
        <f>F4-(H4*G4)</f>
        <v>0</v>
      </c>
      <c r="J4" s="887">
        <f>H4*12</f>
        <v>82604.271844660194</v>
      </c>
      <c r="K4" s="354" t="str">
        <f>'BS 2015'!$D$22</f>
        <v>professionnel / encadrant expérimenté</v>
      </c>
      <c r="L4" s="879">
        <f>CCFT!$D$9</f>
        <v>0.96298504227184045</v>
      </c>
      <c r="M4" s="267">
        <f>ROUND('BS 2015'!$O$22*L4,0)</f>
        <v>315</v>
      </c>
      <c r="N4" s="225">
        <f>'BS 2015'!$Q$22</f>
        <v>92436</v>
      </c>
      <c r="O4" s="226">
        <f>N4*M4</f>
        <v>29117340</v>
      </c>
      <c r="P4" s="254">
        <f>ROUND('BS 2015'!$V$22*$L$4,0)</f>
        <v>187</v>
      </c>
      <c r="Q4" s="225">
        <f>'BS 2015'!$X$22</f>
        <v>86030</v>
      </c>
      <c r="R4" s="226">
        <f>Q4*P4</f>
        <v>16087610</v>
      </c>
      <c r="S4" s="259">
        <f>M4+P4</f>
        <v>502</v>
      </c>
      <c r="T4" s="227">
        <f>O4+R4</f>
        <v>45204950</v>
      </c>
      <c r="U4" s="224">
        <f>(T4/S4)/12</f>
        <v>7504.1417662682607</v>
      </c>
      <c r="V4" s="228">
        <f>(U4*$G$4)</f>
        <v>77.292660192563091</v>
      </c>
      <c r="W4" s="228">
        <f>$F$4-V4</f>
        <v>-6.3906601925630895</v>
      </c>
      <c r="X4" s="221">
        <f>W4*S4</f>
        <v>-3208.1114166666707</v>
      </c>
      <c r="Y4" s="890">
        <f>SUM(X4:X5)</f>
        <v>-6433.0872500000041</v>
      </c>
    </row>
    <row r="5" spans="2:25" x14ac:dyDescent="0.2">
      <c r="B5" s="900"/>
      <c r="C5" s="836"/>
      <c r="D5" s="858"/>
      <c r="E5" s="884"/>
      <c r="F5" s="884"/>
      <c r="G5" s="884"/>
      <c r="H5" s="884"/>
      <c r="I5" s="884"/>
      <c r="J5" s="888"/>
      <c r="K5" s="355" t="str">
        <f>'BS 2015'!$D$23</f>
        <v>cadre dirigeant</v>
      </c>
      <c r="L5" s="895"/>
      <c r="M5" s="268">
        <f>ROUND('BS 2015'!$O$23*L4,0)</f>
        <v>99</v>
      </c>
      <c r="N5" s="230">
        <f>'BS 2015'!$Q$23</f>
        <v>109515</v>
      </c>
      <c r="O5" s="231">
        <f>N5*M5</f>
        <v>10841985</v>
      </c>
      <c r="P5" s="255">
        <f>ROUND('BS 2015'!$V$23*$L$4,0)</f>
        <v>43</v>
      </c>
      <c r="Q5" s="230">
        <f>'BS 2015'!$X$23</f>
        <v>108025</v>
      </c>
      <c r="R5" s="231">
        <f>Q5*P5</f>
        <v>4645075</v>
      </c>
      <c r="S5" s="260">
        <f>M5+P5</f>
        <v>142</v>
      </c>
      <c r="T5" s="232">
        <f>O5+R5</f>
        <v>15487060</v>
      </c>
      <c r="U5" s="229">
        <f>(T5/S5)/12</f>
        <v>9088.6502347417845</v>
      </c>
      <c r="V5" s="233">
        <f>(U5*$G$4)</f>
        <v>93.613097417840379</v>
      </c>
      <c r="W5" s="233">
        <f>$F$4-V5</f>
        <v>-22.711097417840378</v>
      </c>
      <c r="X5" s="222">
        <f>W5*S5</f>
        <v>-3224.9758333333339</v>
      </c>
      <c r="Y5" s="891"/>
    </row>
    <row r="6" spans="2:25" x14ac:dyDescent="0.2">
      <c r="B6" s="900"/>
      <c r="C6" s="894" t="s">
        <v>72</v>
      </c>
      <c r="D6" s="858"/>
      <c r="E6" s="886">
        <f>tarifs!$G$5</f>
        <v>82.17</v>
      </c>
      <c r="F6" s="886">
        <f>E6*D4</f>
        <v>49.302</v>
      </c>
      <c r="G6" s="885">
        <f>tarifs!$G$6</f>
        <v>7.3899999999999999E-3</v>
      </c>
      <c r="H6" s="882">
        <f>F6/G6</f>
        <v>6671.4479025710416</v>
      </c>
      <c r="I6" s="886">
        <f>F6-(H6*G6)</f>
        <v>0</v>
      </c>
      <c r="J6" s="887">
        <f>H6*12</f>
        <v>80057.374830852496</v>
      </c>
      <c r="K6" s="354" t="str">
        <f>'BS 2015'!$D$22</f>
        <v>professionnel / encadrant expérimenté</v>
      </c>
      <c r="L6" s="879">
        <f>CCFT!$D$8</f>
        <v>3.7014957728159548E-2</v>
      </c>
      <c r="M6" s="267">
        <f>ROUND('BS 2015'!$O$22*L6,0)</f>
        <v>12</v>
      </c>
      <c r="N6" s="225">
        <f>'BS 2015'!$Q$22</f>
        <v>92436</v>
      </c>
      <c r="O6" s="226">
        <f>N6*M6</f>
        <v>1109232</v>
      </c>
      <c r="P6" s="254">
        <f>ROUND('BS 2015'!$V$22*$L$6,0)</f>
        <v>7</v>
      </c>
      <c r="Q6" s="225">
        <f>'BS 2015'!$X$22</f>
        <v>86030</v>
      </c>
      <c r="R6" s="226">
        <f>Q6*P6</f>
        <v>602210</v>
      </c>
      <c r="S6" s="259">
        <f>M6+P6</f>
        <v>19</v>
      </c>
      <c r="T6" s="227">
        <f>O6+R6</f>
        <v>1711442</v>
      </c>
      <c r="U6" s="224">
        <f>(T6/S6)/12</f>
        <v>7506.3245614035086</v>
      </c>
      <c r="V6" s="228">
        <f>(U6*$G$6)</f>
        <v>55.471738508771928</v>
      </c>
      <c r="W6" s="228">
        <f>$F$6-V6</f>
        <v>-6.1697385087719283</v>
      </c>
      <c r="X6" s="221">
        <f>W6*S6</f>
        <v>-117.22503166666664</v>
      </c>
      <c r="Y6" s="890">
        <f>SUM(X6:X7)</f>
        <v>-224.23577333333327</v>
      </c>
    </row>
    <row r="7" spans="2:25" x14ac:dyDescent="0.2">
      <c r="B7" s="901"/>
      <c r="C7" s="836"/>
      <c r="D7" s="860"/>
      <c r="E7" s="884"/>
      <c r="F7" s="884"/>
      <c r="G7" s="884"/>
      <c r="H7" s="884"/>
      <c r="I7" s="884"/>
      <c r="J7" s="888"/>
      <c r="K7" s="355" t="str">
        <f>'BS 2015'!$D$23</f>
        <v>cadre dirigeant</v>
      </c>
      <c r="L7" s="881"/>
      <c r="M7" s="268">
        <f>ROUND('BS 2015'!$O$23*L6,0)</f>
        <v>4</v>
      </c>
      <c r="N7" s="230">
        <f>'BS 2015'!$Q$23</f>
        <v>109515</v>
      </c>
      <c r="O7" s="231">
        <f>N7*M7</f>
        <v>438060</v>
      </c>
      <c r="P7" s="255">
        <f>ROUND('BS 2015'!$V$23*$L$6,0)</f>
        <v>2</v>
      </c>
      <c r="Q7" s="230">
        <f>'BS 2015'!$X$23</f>
        <v>108025</v>
      </c>
      <c r="R7" s="231">
        <f>Q7*P7</f>
        <v>216050</v>
      </c>
      <c r="S7" s="260">
        <f>M7+P7</f>
        <v>6</v>
      </c>
      <c r="T7" s="232">
        <f>O7+R7</f>
        <v>654110</v>
      </c>
      <c r="U7" s="229">
        <f>(T7/S7)/12</f>
        <v>9084.8611111111113</v>
      </c>
      <c r="V7" s="233">
        <f>(U7*$G$6)</f>
        <v>67.137123611111107</v>
      </c>
      <c r="W7" s="233">
        <f>$F$6-V7</f>
        <v>-17.835123611111108</v>
      </c>
      <c r="X7" s="222">
        <f>W7*S7</f>
        <v>-107.01074166666665</v>
      </c>
      <c r="Y7" s="891"/>
    </row>
    <row r="8" spans="2:25" ht="5.0999999999999996" customHeight="1" x14ac:dyDescent="0.2">
      <c r="B8" s="265"/>
      <c r="C8" s="273"/>
      <c r="D8" s="266"/>
      <c r="E8" s="273"/>
      <c r="F8" s="273"/>
      <c r="G8" s="273"/>
      <c r="H8" s="273"/>
      <c r="I8" s="273"/>
      <c r="J8" s="273"/>
      <c r="K8" s="356"/>
      <c r="L8" s="215"/>
      <c r="M8" s="256"/>
      <c r="N8" s="240"/>
      <c r="O8" s="240"/>
      <c r="P8" s="256"/>
      <c r="Q8" s="240"/>
      <c r="R8" s="240"/>
      <c r="S8" s="30"/>
      <c r="T8" s="46"/>
      <c r="U8" s="240"/>
      <c r="V8" s="63"/>
      <c r="W8" s="63"/>
      <c r="X8" s="63"/>
      <c r="Y8" s="274"/>
    </row>
    <row r="9" spans="2:25" x14ac:dyDescent="0.2">
      <c r="B9" s="902">
        <v>2017</v>
      </c>
      <c r="C9" s="893" t="s">
        <v>3</v>
      </c>
      <c r="D9" s="898">
        <v>0.5</v>
      </c>
      <c r="E9" s="886">
        <f>tarifs!$K$5</f>
        <v>115.7</v>
      </c>
      <c r="F9" s="882">
        <f>E9*D9</f>
        <v>57.85</v>
      </c>
      <c r="G9" s="885">
        <f>tarifs!$K$6</f>
        <v>1.03E-2</v>
      </c>
      <c r="H9" s="882">
        <f>F9/G9</f>
        <v>5616.5048543689318</v>
      </c>
      <c r="I9" s="886">
        <f>F9-(H9*G9)</f>
        <v>0</v>
      </c>
      <c r="J9" s="887">
        <f>H9*12</f>
        <v>67398.058252427174</v>
      </c>
      <c r="K9" s="354" t="str">
        <f>'BS 2015'!$D$21</f>
        <v>professionnel / encadrant hautement confirmé</v>
      </c>
      <c r="L9" s="879">
        <f>CCFT!$D$9</f>
        <v>0.96298504227184045</v>
      </c>
      <c r="M9" s="267">
        <f>ROUND('BS 2015'!$O$21*L9,0)</f>
        <v>507</v>
      </c>
      <c r="N9" s="225">
        <f>'BS 2015'!$Q$21</f>
        <v>76494</v>
      </c>
      <c r="O9" s="226">
        <f t="shared" ref="O9:O15" si="0">N9*M9</f>
        <v>38782458</v>
      </c>
      <c r="P9" s="254">
        <f>ROUND('BS 2015'!$V$21*$L$4,0)</f>
        <v>312</v>
      </c>
      <c r="Q9" s="225">
        <f>'BS 2015'!$X$21</f>
        <v>73995</v>
      </c>
      <c r="R9" s="226">
        <f t="shared" ref="R9:R15" si="1">Q9*P9</f>
        <v>23086440</v>
      </c>
      <c r="S9" s="261">
        <f t="shared" ref="S9:S15" si="2">M9+P9</f>
        <v>819</v>
      </c>
      <c r="T9" s="227">
        <f t="shared" ref="T9:T15" si="3">O9+R9</f>
        <v>61868898</v>
      </c>
      <c r="U9" s="224">
        <f t="shared" ref="U9:U15" si="4">(T9/S9)/12</f>
        <v>6295.166666666667</v>
      </c>
      <c r="V9" s="228">
        <f>(U9*$G$9)</f>
        <v>64.840216666666677</v>
      </c>
      <c r="W9" s="228">
        <f>$F$9-V9</f>
        <v>-6.9902166666666758</v>
      </c>
      <c r="X9" s="221">
        <f t="shared" ref="X9:X15" si="5">W9*S9</f>
        <v>-5724.9874500000078</v>
      </c>
      <c r="Y9" s="890">
        <f>SUM(X9:X11)</f>
        <v>-20563.562700000013</v>
      </c>
    </row>
    <row r="10" spans="2:25" x14ac:dyDescent="0.2">
      <c r="B10" s="806"/>
      <c r="C10" s="809"/>
      <c r="D10" s="858"/>
      <c r="E10" s="883"/>
      <c r="F10" s="883"/>
      <c r="G10" s="883"/>
      <c r="H10" s="883"/>
      <c r="I10" s="883"/>
      <c r="J10" s="889"/>
      <c r="K10" s="357" t="str">
        <f>'BS 2015'!$D$22</f>
        <v>professionnel / encadrant expérimenté</v>
      </c>
      <c r="L10" s="880"/>
      <c r="M10" s="269">
        <f>ROUND('BS 2015'!$O$22*L9,0)</f>
        <v>315</v>
      </c>
      <c r="N10" s="249">
        <f>'BS 2015'!$Q$22</f>
        <v>92436</v>
      </c>
      <c r="O10" s="250">
        <f t="shared" si="0"/>
        <v>29117340</v>
      </c>
      <c r="P10" s="257">
        <f>ROUND('BS 2015'!$V$22*$L$4,0)</f>
        <v>187</v>
      </c>
      <c r="Q10" s="249">
        <f>'BS 2015'!$X$22</f>
        <v>86030</v>
      </c>
      <c r="R10" s="250">
        <f t="shared" si="1"/>
        <v>16087610</v>
      </c>
      <c r="S10" s="262">
        <f t="shared" si="2"/>
        <v>502</v>
      </c>
      <c r="T10" s="251">
        <f t="shared" si="3"/>
        <v>45204950</v>
      </c>
      <c r="U10" s="248">
        <f t="shared" si="4"/>
        <v>7504.1417662682607</v>
      </c>
      <c r="V10" s="252">
        <f>(U10*$G$9)</f>
        <v>77.292660192563091</v>
      </c>
      <c r="W10" s="252">
        <f>$F$9-V10</f>
        <v>-19.442660192563089</v>
      </c>
      <c r="X10" s="253">
        <f t="shared" si="5"/>
        <v>-9760.2154166666714</v>
      </c>
      <c r="Y10" s="892"/>
    </row>
    <row r="11" spans="2:25" x14ac:dyDescent="0.2">
      <c r="B11" s="806"/>
      <c r="C11" s="810"/>
      <c r="D11" s="858"/>
      <c r="E11" s="884"/>
      <c r="F11" s="884"/>
      <c r="G11" s="884"/>
      <c r="H11" s="884"/>
      <c r="I11" s="884"/>
      <c r="J11" s="888"/>
      <c r="K11" s="355" t="str">
        <f>'BS 2015'!$D$23</f>
        <v>cadre dirigeant</v>
      </c>
      <c r="L11" s="881"/>
      <c r="M11" s="268">
        <f>ROUND('BS 2015'!$O$23*L9,0)</f>
        <v>99</v>
      </c>
      <c r="N11" s="230">
        <f>'BS 2015'!$Q$23</f>
        <v>109515</v>
      </c>
      <c r="O11" s="231">
        <f t="shared" si="0"/>
        <v>10841985</v>
      </c>
      <c r="P11" s="255">
        <f>ROUND('BS 2015'!$V$23*$L$4,0)</f>
        <v>43</v>
      </c>
      <c r="Q11" s="230">
        <f>'BS 2015'!$X$23</f>
        <v>108025</v>
      </c>
      <c r="R11" s="231">
        <f t="shared" si="1"/>
        <v>4645075</v>
      </c>
      <c r="S11" s="260">
        <f t="shared" si="2"/>
        <v>142</v>
      </c>
      <c r="T11" s="232">
        <f t="shared" si="3"/>
        <v>15487060</v>
      </c>
      <c r="U11" s="229">
        <f t="shared" si="4"/>
        <v>9088.6502347417845</v>
      </c>
      <c r="V11" s="233">
        <f>(U11*$G$9)</f>
        <v>93.613097417840379</v>
      </c>
      <c r="W11" s="233">
        <f>$F$9-V11</f>
        <v>-35.763097417840378</v>
      </c>
      <c r="X11" s="222">
        <f t="shared" si="5"/>
        <v>-5078.3598333333339</v>
      </c>
      <c r="Y11" s="891"/>
    </row>
    <row r="12" spans="2:25" x14ac:dyDescent="0.2">
      <c r="B12" s="806"/>
      <c r="C12" s="894" t="s">
        <v>72</v>
      </c>
      <c r="D12" s="858"/>
      <c r="E12" s="886">
        <f>tarifs!$N$5</f>
        <v>75.209999999999994</v>
      </c>
      <c r="F12" s="882">
        <f>E12*D9</f>
        <v>37.604999999999997</v>
      </c>
      <c r="G12" s="885">
        <f>tarifs!$N$6</f>
        <v>7.3899999999999999E-3</v>
      </c>
      <c r="H12" s="882">
        <f>F12/G12</f>
        <v>5088.6332882273337</v>
      </c>
      <c r="I12" s="886">
        <f>F12-(H12*G12)</f>
        <v>0</v>
      </c>
      <c r="J12" s="887">
        <f>H12*12</f>
        <v>61063.599458728</v>
      </c>
      <c r="K12" s="354" t="str">
        <f>'BS 2015'!$D$20</f>
        <v>professionnel / encadrant confirmé</v>
      </c>
      <c r="L12" s="879">
        <f>CCFT!$D$8</f>
        <v>3.7014957728159548E-2</v>
      </c>
      <c r="M12" s="267">
        <f>ROUND('BS 2015'!$O$20*L12,0)</f>
        <v>37</v>
      </c>
      <c r="N12" s="225">
        <f>'BS 2015'!$Q$20</f>
        <v>64902</v>
      </c>
      <c r="O12" s="226">
        <f t="shared" si="0"/>
        <v>2401374</v>
      </c>
      <c r="P12" s="254">
        <f>ROUND('BS 2015'!$V$20*$L$6,0)</f>
        <v>33</v>
      </c>
      <c r="Q12" s="225">
        <f>'BS 2015'!$X$20</f>
        <v>62765</v>
      </c>
      <c r="R12" s="226">
        <f t="shared" si="1"/>
        <v>2071245</v>
      </c>
      <c r="S12" s="261">
        <f t="shared" si="2"/>
        <v>70</v>
      </c>
      <c r="T12" s="227">
        <f t="shared" si="3"/>
        <v>4472619</v>
      </c>
      <c r="U12" s="224">
        <f t="shared" si="4"/>
        <v>5324.5464285714288</v>
      </c>
      <c r="V12" s="228">
        <f>(U12*$G$12)</f>
        <v>39.348398107142856</v>
      </c>
      <c r="W12" s="228">
        <f>$F$12-V12</f>
        <v>-1.743398107142859</v>
      </c>
      <c r="X12" s="221">
        <f t="shared" si="5"/>
        <v>-122.03786750000013</v>
      </c>
      <c r="Y12" s="890">
        <f>SUM(X12:X15)</f>
        <v>-924.31279083333357</v>
      </c>
    </row>
    <row r="13" spans="2:25" x14ac:dyDescent="0.2">
      <c r="B13" s="806"/>
      <c r="C13" s="809"/>
      <c r="D13" s="858"/>
      <c r="E13" s="883"/>
      <c r="F13" s="883"/>
      <c r="G13" s="883"/>
      <c r="H13" s="883"/>
      <c r="I13" s="883"/>
      <c r="J13" s="889"/>
      <c r="K13" s="358" t="str">
        <f>'BS 2015'!$D$21</f>
        <v>professionnel / encadrant hautement confirmé</v>
      </c>
      <c r="L13" s="880"/>
      <c r="M13" s="270">
        <f>ROUND('BS 2015'!$O$21*L12,0)</f>
        <v>20</v>
      </c>
      <c r="N13" s="235">
        <f>'BS 2015'!$Q$21</f>
        <v>76494</v>
      </c>
      <c r="O13" s="236">
        <f t="shared" si="0"/>
        <v>1529880</v>
      </c>
      <c r="P13" s="258">
        <f>ROUND('BS 2015'!$V$21*$L$6,0)</f>
        <v>12</v>
      </c>
      <c r="Q13" s="235">
        <f>'BS 2015'!$X$21</f>
        <v>73995</v>
      </c>
      <c r="R13" s="236">
        <f t="shared" si="1"/>
        <v>887940</v>
      </c>
      <c r="S13" s="263">
        <f t="shared" si="2"/>
        <v>32</v>
      </c>
      <c r="T13" s="237">
        <f t="shared" si="3"/>
        <v>2417820</v>
      </c>
      <c r="U13" s="234">
        <f t="shared" si="4"/>
        <v>6296.40625</v>
      </c>
      <c r="V13" s="238">
        <f>(U13*$G$12)</f>
        <v>46.5304421875</v>
      </c>
      <c r="W13" s="238">
        <f>$F$12-V13</f>
        <v>-8.9254421875000034</v>
      </c>
      <c r="X13" s="223">
        <f t="shared" si="5"/>
        <v>-285.61415000000011</v>
      </c>
      <c r="Y13" s="892"/>
    </row>
    <row r="14" spans="2:25" x14ac:dyDescent="0.2">
      <c r="B14" s="806"/>
      <c r="C14" s="809"/>
      <c r="D14" s="858"/>
      <c r="E14" s="883"/>
      <c r="F14" s="883"/>
      <c r="G14" s="883"/>
      <c r="H14" s="883"/>
      <c r="I14" s="883"/>
      <c r="J14" s="889"/>
      <c r="K14" s="358" t="str">
        <f>'BS 2015'!$D$22</f>
        <v>professionnel / encadrant expérimenté</v>
      </c>
      <c r="L14" s="880"/>
      <c r="M14" s="270">
        <f>ROUND('BS 2015'!$O$22*L12,0)</f>
        <v>12</v>
      </c>
      <c r="N14" s="235">
        <f>'BS 2015'!$Q$22</f>
        <v>92436</v>
      </c>
      <c r="O14" s="236">
        <f t="shared" si="0"/>
        <v>1109232</v>
      </c>
      <c r="P14" s="258">
        <f>ROUND('BS 2015'!$V$22*$L$6,0)</f>
        <v>7</v>
      </c>
      <c r="Q14" s="235">
        <f>'BS 2015'!$X$22</f>
        <v>86030</v>
      </c>
      <c r="R14" s="236">
        <f t="shared" si="1"/>
        <v>602210</v>
      </c>
      <c r="S14" s="263">
        <f t="shared" si="2"/>
        <v>19</v>
      </c>
      <c r="T14" s="237">
        <f t="shared" si="3"/>
        <v>1711442</v>
      </c>
      <c r="U14" s="234">
        <f t="shared" si="4"/>
        <v>7506.3245614035086</v>
      </c>
      <c r="V14" s="238">
        <f>(U14*$G$12)</f>
        <v>55.471738508771928</v>
      </c>
      <c r="W14" s="238">
        <f>$F$12-V14</f>
        <v>-17.866738508771931</v>
      </c>
      <c r="X14" s="223">
        <f t="shared" si="5"/>
        <v>-339.46803166666666</v>
      </c>
      <c r="Y14" s="892"/>
    </row>
    <row r="15" spans="2:25" x14ac:dyDescent="0.2">
      <c r="B15" s="807"/>
      <c r="C15" s="810"/>
      <c r="D15" s="860"/>
      <c r="E15" s="884"/>
      <c r="F15" s="884"/>
      <c r="G15" s="884"/>
      <c r="H15" s="884"/>
      <c r="I15" s="884"/>
      <c r="J15" s="888"/>
      <c r="K15" s="355" t="str">
        <f>'BS 2015'!$D$23</f>
        <v>cadre dirigeant</v>
      </c>
      <c r="L15" s="881"/>
      <c r="M15" s="268">
        <f>ROUND('BS 2015'!$O$23*L12,0)</f>
        <v>4</v>
      </c>
      <c r="N15" s="230">
        <f>'BS 2015'!$Q$23</f>
        <v>109515</v>
      </c>
      <c r="O15" s="231">
        <f t="shared" si="0"/>
        <v>438060</v>
      </c>
      <c r="P15" s="255">
        <f>ROUND('BS 2015'!$V$23*$L$6,0)</f>
        <v>2</v>
      </c>
      <c r="Q15" s="230">
        <f>'BS 2015'!$X$23</f>
        <v>108025</v>
      </c>
      <c r="R15" s="231">
        <f t="shared" si="1"/>
        <v>216050</v>
      </c>
      <c r="S15" s="260">
        <f t="shared" si="2"/>
        <v>6</v>
      </c>
      <c r="T15" s="232">
        <f t="shared" si="3"/>
        <v>654110</v>
      </c>
      <c r="U15" s="229">
        <f t="shared" si="4"/>
        <v>9084.8611111111113</v>
      </c>
      <c r="V15" s="233">
        <f>(U15*$G$12)</f>
        <v>67.137123611111107</v>
      </c>
      <c r="W15" s="233">
        <f>$F$12-V15</f>
        <v>-29.532123611111111</v>
      </c>
      <c r="X15" s="222">
        <f t="shared" si="5"/>
        <v>-177.19274166666668</v>
      </c>
      <c r="Y15" s="891"/>
    </row>
    <row r="16" spans="2:25" ht="5.0999999999999996" customHeight="1" x14ac:dyDescent="0.2">
      <c r="B16" s="11"/>
      <c r="C16" s="11"/>
      <c r="D16" s="11"/>
      <c r="E16" s="11"/>
      <c r="F16" s="11"/>
      <c r="G16" s="11"/>
      <c r="H16" s="11"/>
      <c r="I16" s="11"/>
      <c r="J16" s="11"/>
      <c r="K16" s="11"/>
      <c r="L16" s="11"/>
      <c r="M16" s="11"/>
      <c r="N16" s="11"/>
      <c r="O16" s="11"/>
      <c r="P16" s="11"/>
      <c r="Q16" s="11"/>
      <c r="R16" s="11"/>
      <c r="S16" s="11"/>
      <c r="T16" s="11"/>
      <c r="U16" s="11"/>
      <c r="V16" s="11"/>
      <c r="W16" s="11"/>
      <c r="X16" s="11"/>
      <c r="Y16" s="11"/>
    </row>
    <row r="17" spans="2:25" x14ac:dyDescent="0.2">
      <c r="B17" s="94"/>
      <c r="C17" s="98"/>
      <c r="D17" s="98"/>
      <c r="E17" s="98"/>
      <c r="F17" s="98"/>
      <c r="G17" s="98"/>
      <c r="H17" s="98"/>
      <c r="I17" s="98"/>
      <c r="J17" s="98"/>
      <c r="K17" s="98"/>
      <c r="L17" s="98"/>
      <c r="M17" s="98"/>
      <c r="N17" s="2"/>
      <c r="O17" s="2"/>
      <c r="P17" s="2"/>
      <c r="Q17" s="2"/>
      <c r="R17" s="2"/>
      <c r="S17" s="2"/>
      <c r="T17" s="2"/>
      <c r="U17" s="2"/>
      <c r="V17" s="2"/>
      <c r="W17" s="34"/>
      <c r="X17" s="34"/>
      <c r="Y17" s="219"/>
    </row>
    <row r="18" spans="2:25" x14ac:dyDescent="0.2">
      <c r="B18" s="94"/>
      <c r="C18" s="100"/>
      <c r="D18" s="100"/>
      <c r="E18" s="100"/>
      <c r="F18" s="100"/>
      <c r="G18" s="100"/>
      <c r="H18" s="100"/>
      <c r="I18" s="100"/>
      <c r="J18" s="100"/>
      <c r="K18" s="100"/>
      <c r="L18" s="100"/>
      <c r="M18" s="100"/>
      <c r="N18" s="2"/>
      <c r="O18" s="2"/>
      <c r="P18" s="2"/>
      <c r="Q18" s="2"/>
      <c r="R18" s="2"/>
      <c r="S18" s="2"/>
      <c r="T18" s="2"/>
      <c r="U18" s="2"/>
      <c r="V18" s="2"/>
      <c r="W18" s="34"/>
      <c r="X18" s="34"/>
      <c r="Y18" s="34"/>
    </row>
    <row r="24" spans="2:25" x14ac:dyDescent="0.2">
      <c r="C24" s="353"/>
    </row>
  </sheetData>
  <mergeCells count="41">
    <mergeCell ref="B2:C2"/>
    <mergeCell ref="D4:D7"/>
    <mergeCell ref="D9:D15"/>
    <mergeCell ref="E4:E5"/>
    <mergeCell ref="E6:E7"/>
    <mergeCell ref="E9:E11"/>
    <mergeCell ref="E12:E15"/>
    <mergeCell ref="B4:B7"/>
    <mergeCell ref="B9:B15"/>
    <mergeCell ref="Y4:Y5"/>
    <mergeCell ref="Y6:Y7"/>
    <mergeCell ref="Y9:Y11"/>
    <mergeCell ref="Y12:Y15"/>
    <mergeCell ref="C9:C11"/>
    <mergeCell ref="C12:C15"/>
    <mergeCell ref="F4:F5"/>
    <mergeCell ref="F6:F7"/>
    <mergeCell ref="H4:H5"/>
    <mergeCell ref="H6:H7"/>
    <mergeCell ref="H9:H11"/>
    <mergeCell ref="H12:H15"/>
    <mergeCell ref="C4:C5"/>
    <mergeCell ref="C6:C7"/>
    <mergeCell ref="L4:L5"/>
    <mergeCell ref="L6:L7"/>
    <mergeCell ref="L9:L11"/>
    <mergeCell ref="L12:L15"/>
    <mergeCell ref="F9:F11"/>
    <mergeCell ref="F12:F15"/>
    <mergeCell ref="G4:G5"/>
    <mergeCell ref="G6:G7"/>
    <mergeCell ref="G9:G11"/>
    <mergeCell ref="G12:G15"/>
    <mergeCell ref="I4:I5"/>
    <mergeCell ref="I6:I7"/>
    <mergeCell ref="I9:I11"/>
    <mergeCell ref="I12:I15"/>
    <mergeCell ref="J4:J5"/>
    <mergeCell ref="J6:J7"/>
    <mergeCell ref="J9:J11"/>
    <mergeCell ref="J12:J15"/>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7"/>
  <sheetViews>
    <sheetView showGridLines="0" showZeros="0" zoomScaleNormal="100" workbookViewId="0"/>
  </sheetViews>
  <sheetFormatPr baseColWidth="10" defaultColWidth="11.42578125" defaultRowHeight="11.25" x14ac:dyDescent="0.2"/>
  <cols>
    <col min="1" max="1" width="0.85546875" style="84" customWidth="1"/>
    <col min="2" max="2" width="36.5703125" style="84" customWidth="1"/>
    <col min="3" max="9" width="11.42578125" style="86"/>
    <col min="10" max="10" width="0.85546875" style="84" customWidth="1"/>
    <col min="11" max="16384" width="11.42578125" style="86"/>
  </cols>
  <sheetData>
    <row r="1" spans="1:10" s="85" customFormat="1" ht="5.0999999999999996" customHeight="1" x14ac:dyDescent="0.2">
      <c r="A1" s="84"/>
      <c r="B1" s="84"/>
      <c r="C1" s="359"/>
      <c r="D1" s="359"/>
      <c r="E1" s="359"/>
      <c r="F1" s="359"/>
      <c r="G1" s="359"/>
      <c r="H1" s="359"/>
      <c r="I1" s="360"/>
      <c r="J1" s="84"/>
    </row>
    <row r="2" spans="1:10" ht="11.25" customHeight="1" x14ac:dyDescent="0.2">
      <c r="B2" s="434" t="s">
        <v>2</v>
      </c>
      <c r="C2" s="910" t="str">
        <f>économie!R4</f>
        <v>régime général</v>
      </c>
      <c r="D2" s="911">
        <f>économie!S4</f>
        <v>0</v>
      </c>
      <c r="E2" s="912">
        <f>économie!T4</f>
        <v>0</v>
      </c>
      <c r="F2" s="913" t="str">
        <f>économie!U4</f>
        <v>régime local alsace moselle</v>
      </c>
      <c r="G2" s="911">
        <f>économie!V4</f>
        <v>0</v>
      </c>
      <c r="H2" s="912">
        <f>économie!W4</f>
        <v>0</v>
      </c>
      <c r="I2" s="376" t="str">
        <f>économie!X4</f>
        <v>total</v>
      </c>
    </row>
    <row r="3" spans="1:10" s="84" customFormat="1" ht="5.0999999999999996" customHeight="1" x14ac:dyDescent="0.2">
      <c r="B3" s="435"/>
      <c r="C3" s="216"/>
      <c r="D3" s="216"/>
      <c r="E3" s="216"/>
      <c r="F3" s="216"/>
      <c r="G3" s="216"/>
      <c r="H3" s="216"/>
    </row>
    <row r="4" spans="1:10" s="87" customFormat="1" ht="11.25" customHeight="1" x14ac:dyDescent="0.2">
      <c r="A4" s="84"/>
      <c r="B4" s="436" t="s">
        <v>5</v>
      </c>
      <c r="C4" s="736">
        <f>économie!R5</f>
        <v>-1580019.4799999893</v>
      </c>
      <c r="D4" s="737">
        <f>économie!S5</f>
        <v>0</v>
      </c>
      <c r="E4" s="738">
        <f>économie!T5</f>
        <v>0</v>
      </c>
      <c r="F4" s="737">
        <f>économie!U5</f>
        <v>-171132.48000000045</v>
      </c>
      <c r="G4" s="737">
        <f>économie!V5</f>
        <v>0</v>
      </c>
      <c r="H4" s="737">
        <f>économie!W5</f>
        <v>0</v>
      </c>
      <c r="I4" s="344">
        <f>économie!X5</f>
        <v>-1751151.9599999897</v>
      </c>
      <c r="J4" s="84"/>
    </row>
    <row r="5" spans="1:10" s="88" customFormat="1" ht="11.25" customHeight="1" x14ac:dyDescent="0.2">
      <c r="A5" s="84"/>
      <c r="B5" s="933" t="s">
        <v>55</v>
      </c>
      <c r="C5" s="695">
        <f>économie!R6</f>
        <v>-409135.34544999525</v>
      </c>
      <c r="D5" s="696">
        <f>économie!S6</f>
        <v>0</v>
      </c>
      <c r="E5" s="697">
        <f>économie!T6</f>
        <v>0</v>
      </c>
      <c r="F5" s="696">
        <f>économie!U6</f>
        <v>-43483.197017500119</v>
      </c>
      <c r="G5" s="696">
        <f>économie!V6</f>
        <v>0</v>
      </c>
      <c r="H5" s="696">
        <f>économie!W6</f>
        <v>0</v>
      </c>
      <c r="I5" s="345">
        <f>économie!X6</f>
        <v>-452618.54246749537</v>
      </c>
      <c r="J5" s="84"/>
    </row>
    <row r="6" spans="1:10" s="87" customFormat="1" ht="11.25" customHeight="1" x14ac:dyDescent="0.2">
      <c r="A6" s="84"/>
      <c r="B6" s="934"/>
      <c r="C6" s="720">
        <f>économie!R7</f>
        <v>0.25894322863031916</v>
      </c>
      <c r="D6" s="775">
        <f>économie!S7</f>
        <v>0</v>
      </c>
      <c r="E6" s="776">
        <f>économie!T7</f>
        <v>0</v>
      </c>
      <c r="F6" s="719">
        <f>économie!U7</f>
        <v>0.25409084831529355</v>
      </c>
      <c r="G6" s="719">
        <f>économie!V7</f>
        <v>0</v>
      </c>
      <c r="H6" s="720">
        <f>économie!W7</f>
        <v>0</v>
      </c>
      <c r="I6" s="407">
        <f>économie!X7</f>
        <v>0.25846902656437537</v>
      </c>
      <c r="J6" s="84"/>
    </row>
    <row r="7" spans="1:10" s="89" customFormat="1" ht="11.25" customHeight="1" x14ac:dyDescent="0.2">
      <c r="A7" s="84"/>
      <c r="B7" s="935" t="s">
        <v>7</v>
      </c>
      <c r="C7" s="793">
        <f>économie!R8</f>
        <v>-1170884.1345499903</v>
      </c>
      <c r="D7" s="794">
        <f>économie!S8</f>
        <v>0</v>
      </c>
      <c r="E7" s="795">
        <f>économie!T8</f>
        <v>0</v>
      </c>
      <c r="F7" s="794">
        <f>économie!U8</f>
        <v>-127649.28298250027</v>
      </c>
      <c r="G7" s="794">
        <f>économie!V8</f>
        <v>0</v>
      </c>
      <c r="H7" s="794">
        <f>économie!W8</f>
        <v>0</v>
      </c>
      <c r="I7" s="346">
        <f>économie!X8</f>
        <v>-1298533.4175324906</v>
      </c>
      <c r="J7" s="84"/>
    </row>
    <row r="8" spans="1:10" s="87" customFormat="1" ht="11.25" customHeight="1" x14ac:dyDescent="0.2">
      <c r="A8" s="84"/>
      <c r="B8" s="936"/>
      <c r="C8" s="722">
        <f>économie!R9</f>
        <v>0.74105677136967851</v>
      </c>
      <c r="D8" s="723">
        <f>économie!S9</f>
        <v>0</v>
      </c>
      <c r="E8" s="724">
        <f>économie!T9</f>
        <v>0</v>
      </c>
      <c r="F8" s="725">
        <f>économie!U9</f>
        <v>0.74590915168470617</v>
      </c>
      <c r="G8" s="725">
        <f>économie!V9</f>
        <v>0</v>
      </c>
      <c r="H8" s="722">
        <f>économie!W9</f>
        <v>0</v>
      </c>
      <c r="I8" s="408">
        <f>économie!X9</f>
        <v>0.74153097343562246</v>
      </c>
      <c r="J8" s="84"/>
    </row>
    <row r="9" spans="1:10" s="84" customFormat="1" ht="5.0999999999999996" customHeight="1" x14ac:dyDescent="0.2">
      <c r="B9" s="435"/>
      <c r="C9" s="216"/>
      <c r="D9" s="216"/>
      <c r="E9" s="216"/>
      <c r="F9" s="216"/>
      <c r="G9" s="216"/>
      <c r="H9" s="216"/>
    </row>
    <row r="10" spans="1:10" ht="11.25" customHeight="1" x14ac:dyDescent="0.2">
      <c r="B10" s="937" t="s">
        <v>22</v>
      </c>
      <c r="C10" s="918" t="str">
        <f>économie!R11</f>
        <v>tranche A</v>
      </c>
      <c r="D10" s="919">
        <f>économie!S11</f>
        <v>0</v>
      </c>
      <c r="E10" s="918" t="str">
        <f>économie!T11</f>
        <v>tranche B</v>
      </c>
      <c r="F10" s="919">
        <f>économie!U11</f>
        <v>0</v>
      </c>
      <c r="G10" s="920" t="str">
        <f>économie!V11</f>
        <v>tranche C</v>
      </c>
      <c r="H10" s="919">
        <f>économie!W11</f>
        <v>0</v>
      </c>
      <c r="I10" s="923" t="str">
        <f>économie!X11</f>
        <v>total</v>
      </c>
    </row>
    <row r="11" spans="1:10" s="90" customFormat="1" ht="22.5" x14ac:dyDescent="0.2">
      <c r="A11" s="84"/>
      <c r="B11" s="938"/>
      <c r="C11" s="377" t="str">
        <f>économie!R12</f>
        <v>employé</v>
      </c>
      <c r="D11" s="378" t="str">
        <f>économie!S12</f>
        <v>agent de maîtrise cadre</v>
      </c>
      <c r="E11" s="377" t="str">
        <f>économie!T12</f>
        <v>employé</v>
      </c>
      <c r="F11" s="378" t="str">
        <f>économie!U12</f>
        <v>agent de maîtrise cadre</v>
      </c>
      <c r="G11" s="377" t="str">
        <f>économie!V12</f>
        <v>employé</v>
      </c>
      <c r="H11" s="378" t="str">
        <f>économie!W12</f>
        <v>agent de maîtrise cadre</v>
      </c>
      <c r="I11" s="924"/>
      <c r="J11" s="84"/>
    </row>
    <row r="12" spans="1:10" s="84" customFormat="1" ht="5.0999999999999996" customHeight="1" x14ac:dyDescent="0.2">
      <c r="B12" s="435"/>
      <c r="C12" s="187"/>
      <c r="D12" s="187"/>
      <c r="E12" s="187"/>
      <c r="F12" s="187"/>
      <c r="G12" s="187"/>
      <c r="H12" s="187"/>
      <c r="I12" s="188"/>
    </row>
    <row r="13" spans="1:10" s="88" customFormat="1" ht="11.25" customHeight="1" x14ac:dyDescent="0.2">
      <c r="A13" s="84"/>
      <c r="B13" s="437" t="s">
        <v>147</v>
      </c>
      <c r="C13" s="196">
        <f>économie!R13</f>
        <v>-696507.69635999948</v>
      </c>
      <c r="D13" s="412">
        <f>économie!S13</f>
        <v>-328575.04848000035</v>
      </c>
      <c r="E13" s="196">
        <f>économie!T13</f>
        <v>7499.7977600000013</v>
      </c>
      <c r="F13" s="197">
        <f>économie!U13</f>
        <v>436615.88942999952</v>
      </c>
      <c r="G13" s="198">
        <f>économie!V13</f>
        <v>0</v>
      </c>
      <c r="H13" s="199">
        <f>économie!W13</f>
        <v>0</v>
      </c>
      <c r="I13" s="347">
        <f>économie!X13</f>
        <v>-580967.05765000032</v>
      </c>
      <c r="J13" s="84"/>
    </row>
    <row r="14" spans="1:10" s="88" customFormat="1" ht="11.25" customHeight="1" x14ac:dyDescent="0.2">
      <c r="A14" s="84"/>
      <c r="B14" s="933" t="s">
        <v>29</v>
      </c>
      <c r="C14" s="194">
        <f>économie!R14</f>
        <v>-187946.52123999968</v>
      </c>
      <c r="D14" s="220">
        <f>économie!S14</f>
        <v>-88663.108320000116</v>
      </c>
      <c r="E14" s="194">
        <f>économie!T14</f>
        <v>3145.0764800000034</v>
      </c>
      <c r="F14" s="195">
        <f>économie!U14</f>
        <v>197181.36941999942</v>
      </c>
      <c r="G14" s="194">
        <f>économie!V14</f>
        <v>0</v>
      </c>
      <c r="H14" s="195">
        <f>économie!W14</f>
        <v>0</v>
      </c>
      <c r="I14" s="348">
        <f>économie!X14</f>
        <v>-76283.183660000388</v>
      </c>
      <c r="J14" s="84"/>
    </row>
    <row r="15" spans="1:10" s="88" customFormat="1" ht="11.25" customHeight="1" x14ac:dyDescent="0.2">
      <c r="A15" s="84"/>
      <c r="B15" s="939"/>
      <c r="C15" s="202">
        <f>économie!R15</f>
        <v>0.2698412698412696</v>
      </c>
      <c r="D15" s="405">
        <f>économie!S15</f>
        <v>0.26984126984126988</v>
      </c>
      <c r="E15" s="202">
        <f>économie!T15</f>
        <v>0.41935483870967777</v>
      </c>
      <c r="F15" s="203">
        <f>économie!U15</f>
        <v>0.45161290322580561</v>
      </c>
      <c r="G15" s="202">
        <f>économie!V15</f>
        <v>0</v>
      </c>
      <c r="H15" s="203">
        <f>économie!W15</f>
        <v>0</v>
      </c>
      <c r="I15" s="407">
        <f>économie!X15</f>
        <v>0.13130380226473473</v>
      </c>
      <c r="J15" s="84"/>
    </row>
    <row r="16" spans="1:10" s="88" customFormat="1" ht="11.25" customHeight="1" x14ac:dyDescent="0.2">
      <c r="A16" s="84"/>
      <c r="B16" s="940" t="s">
        <v>7</v>
      </c>
      <c r="C16" s="200">
        <f>économie!R16</f>
        <v>-508561.1751199998</v>
      </c>
      <c r="D16" s="410">
        <f>économie!S16</f>
        <v>-239911.9401600007</v>
      </c>
      <c r="E16" s="200">
        <f>économie!T16</f>
        <v>4354.7212800000052</v>
      </c>
      <c r="F16" s="201">
        <f>économie!U16</f>
        <v>241446.57480000053</v>
      </c>
      <c r="G16" s="200">
        <f>économie!V16</f>
        <v>0</v>
      </c>
      <c r="H16" s="201">
        <f>économie!W16</f>
        <v>0</v>
      </c>
      <c r="I16" s="349">
        <f>économie!X16</f>
        <v>-502671.81919999991</v>
      </c>
      <c r="J16" s="84"/>
    </row>
    <row r="17" spans="1:10" s="88" customFormat="1" ht="11.25" customHeight="1" x14ac:dyDescent="0.2">
      <c r="A17" s="84"/>
      <c r="B17" s="936"/>
      <c r="C17" s="189">
        <f>économie!R17</f>
        <v>0.73015873015873045</v>
      </c>
      <c r="D17" s="190">
        <f>économie!S17</f>
        <v>0.73015873015873156</v>
      </c>
      <c r="E17" s="170">
        <f>économie!T17</f>
        <v>0.58064516129032318</v>
      </c>
      <c r="F17" s="171">
        <f>économie!U17</f>
        <v>0.55299539170507095</v>
      </c>
      <c r="G17" s="189">
        <f>économie!V17</f>
        <v>0</v>
      </c>
      <c r="H17" s="191">
        <f>économie!W17</f>
        <v>0</v>
      </c>
      <c r="I17" s="408">
        <f>économie!X17</f>
        <v>0.8652329122296486</v>
      </c>
      <c r="J17" s="84"/>
    </row>
    <row r="18" spans="1:10" s="84" customFormat="1" ht="5.0999999999999996" customHeight="1" x14ac:dyDescent="0.2">
      <c r="B18" s="435"/>
      <c r="C18" s="192"/>
      <c r="D18" s="192"/>
      <c r="E18" s="192"/>
      <c r="F18" s="192"/>
      <c r="G18" s="192"/>
      <c r="H18" s="192"/>
      <c r="I18" s="193"/>
    </row>
    <row r="19" spans="1:10" s="88" customFormat="1" ht="11.25" customHeight="1" x14ac:dyDescent="0.2">
      <c r="A19" s="84"/>
      <c r="B19" s="437" t="s">
        <v>148</v>
      </c>
      <c r="C19" s="196">
        <f>économie!R18</f>
        <v>-6555.3806700001005</v>
      </c>
      <c r="D19" s="411">
        <f>économie!S18</f>
        <v>-3847.5867599999765</v>
      </c>
      <c r="E19" s="196">
        <f>économie!T18</f>
        <v>0</v>
      </c>
      <c r="F19" s="197">
        <f>économie!U18</f>
        <v>0</v>
      </c>
      <c r="G19" s="198">
        <f>économie!V18</f>
        <v>0</v>
      </c>
      <c r="H19" s="199">
        <f>économie!W18</f>
        <v>0</v>
      </c>
      <c r="I19" s="347">
        <f>économie!X18</f>
        <v>-10402.967430000077</v>
      </c>
      <c r="J19" s="84"/>
    </row>
    <row r="20" spans="1:10" s="88" customFormat="1" ht="11.25" customHeight="1" x14ac:dyDescent="0.2">
      <c r="A20" s="84"/>
      <c r="B20" s="933" t="s">
        <v>29</v>
      </c>
      <c r="C20" s="204">
        <f>économie!R19</f>
        <v>-1456.75125999999</v>
      </c>
      <c r="D20" s="406">
        <f>économie!S19</f>
        <v>-855.01927999997861</v>
      </c>
      <c r="E20" s="204">
        <f>économie!T19</f>
        <v>0</v>
      </c>
      <c r="F20" s="205">
        <f>économie!U19</f>
        <v>0</v>
      </c>
      <c r="G20" s="204">
        <f>économie!V19</f>
        <v>0</v>
      </c>
      <c r="H20" s="205">
        <f>économie!W19</f>
        <v>0</v>
      </c>
      <c r="I20" s="350">
        <f>économie!X19</f>
        <v>-2311.7705399999686</v>
      </c>
      <c r="J20" s="84"/>
    </row>
    <row r="21" spans="1:10" s="88" customFormat="1" ht="11.25" customHeight="1" x14ac:dyDescent="0.2">
      <c r="A21" s="84"/>
      <c r="B21" s="939"/>
      <c r="C21" s="202">
        <f>économie!R20</f>
        <v>0.2222222222222173</v>
      </c>
      <c r="D21" s="404">
        <f>économie!S20</f>
        <v>0.22222222222221802</v>
      </c>
      <c r="E21" s="202">
        <f>économie!T20</f>
        <v>0</v>
      </c>
      <c r="F21" s="203">
        <f>économie!U20</f>
        <v>0</v>
      </c>
      <c r="G21" s="202">
        <f>économie!V20</f>
        <v>0</v>
      </c>
      <c r="H21" s="203">
        <f>économie!W20</f>
        <v>0</v>
      </c>
      <c r="I21" s="407">
        <f>économie!X20</f>
        <v>0.22222222222221755</v>
      </c>
      <c r="J21" s="84"/>
    </row>
    <row r="22" spans="1:10" s="88" customFormat="1" ht="11.25" customHeight="1" x14ac:dyDescent="0.2">
      <c r="A22" s="84"/>
      <c r="B22" s="940" t="s">
        <v>7</v>
      </c>
      <c r="C22" s="200">
        <f>économie!R21</f>
        <v>-5098.6294100000523</v>
      </c>
      <c r="D22" s="409">
        <f>économie!S21</f>
        <v>-2992.5674800000852</v>
      </c>
      <c r="E22" s="200">
        <f>économie!T21</f>
        <v>0</v>
      </c>
      <c r="F22" s="201">
        <f>économie!U21</f>
        <v>0</v>
      </c>
      <c r="G22" s="200">
        <f>économie!V21</f>
        <v>0</v>
      </c>
      <c r="H22" s="201">
        <f>économie!W21</f>
        <v>0</v>
      </c>
      <c r="I22" s="349">
        <f>économie!X21</f>
        <v>-8091.1968900001375</v>
      </c>
      <c r="J22" s="84"/>
    </row>
    <row r="23" spans="1:10" s="88" customFormat="1" ht="11.25" customHeight="1" x14ac:dyDescent="0.2">
      <c r="A23" s="84"/>
      <c r="B23" s="936"/>
      <c r="C23" s="173">
        <f>économie!R22</f>
        <v>0.77777777777777379</v>
      </c>
      <c r="D23" s="370">
        <f>économie!S22</f>
        <v>0.77777777777780466</v>
      </c>
      <c r="E23" s="170">
        <f>économie!T22</f>
        <v>0</v>
      </c>
      <c r="F23" s="171">
        <f>économie!U22</f>
        <v>0</v>
      </c>
      <c r="G23" s="189">
        <f>économie!V22</f>
        <v>0</v>
      </c>
      <c r="H23" s="191">
        <f>économie!W22</f>
        <v>0</v>
      </c>
      <c r="I23" s="408">
        <f>économie!X22</f>
        <v>0.77777777777778523</v>
      </c>
      <c r="J23" s="84"/>
    </row>
    <row r="24" spans="1:10" s="84" customFormat="1" ht="5.0999999999999996" customHeight="1" x14ac:dyDescent="0.2">
      <c r="B24" s="435"/>
      <c r="C24" s="192"/>
      <c r="D24" s="352"/>
      <c r="E24" s="192"/>
      <c r="F24" s="192"/>
      <c r="G24" s="192"/>
      <c r="H24" s="192"/>
      <c r="I24" s="193"/>
    </row>
    <row r="25" spans="1:10" s="88" customFormat="1" ht="11.25" customHeight="1" x14ac:dyDescent="0.2">
      <c r="A25" s="84"/>
      <c r="B25" s="437" t="s">
        <v>149</v>
      </c>
      <c r="C25" s="928">
        <f>économie!R23</f>
        <v>168759.24942000001</v>
      </c>
      <c r="D25" s="929">
        <f>économie!S23</f>
        <v>0</v>
      </c>
      <c r="E25" s="929">
        <f>économie!T23</f>
        <v>0</v>
      </c>
      <c r="F25" s="929">
        <f>économie!U23</f>
        <v>0</v>
      </c>
      <c r="G25" s="929">
        <f>économie!V23</f>
        <v>0</v>
      </c>
      <c r="H25" s="930">
        <f>économie!W23</f>
        <v>0</v>
      </c>
      <c r="I25" s="347">
        <f>économie!X23</f>
        <v>168759.24942000001</v>
      </c>
      <c r="J25" s="84"/>
    </row>
    <row r="26" spans="1:10" s="88" customFormat="1" ht="11.25" customHeight="1" x14ac:dyDescent="0.2">
      <c r="A26" s="84"/>
      <c r="B26" s="933" t="s">
        <v>29</v>
      </c>
      <c r="C26" s="695">
        <f>économie!R24</f>
        <v>67041.345659999992</v>
      </c>
      <c r="D26" s="696">
        <f>économie!S24</f>
        <v>0</v>
      </c>
      <c r="E26" s="696">
        <f>économie!T24</f>
        <v>0</v>
      </c>
      <c r="F26" s="696">
        <f>économie!U24</f>
        <v>0</v>
      </c>
      <c r="G26" s="696">
        <f>économie!V24</f>
        <v>0</v>
      </c>
      <c r="H26" s="697">
        <f>économie!W24</f>
        <v>0</v>
      </c>
      <c r="I26" s="350">
        <f>économie!X24</f>
        <v>67041.345659999992</v>
      </c>
      <c r="J26" s="84"/>
    </row>
    <row r="27" spans="1:10" s="88" customFormat="1" ht="11.25" customHeight="1" x14ac:dyDescent="0.2">
      <c r="A27" s="84"/>
      <c r="B27" s="939"/>
      <c r="C27" s="680">
        <f>économie!R25</f>
        <v>0.39726027397260266</v>
      </c>
      <c r="D27" s="681">
        <f>économie!S25</f>
        <v>0</v>
      </c>
      <c r="E27" s="681">
        <f>économie!T25</f>
        <v>0</v>
      </c>
      <c r="F27" s="681">
        <f>économie!U25</f>
        <v>0</v>
      </c>
      <c r="G27" s="681">
        <f>économie!V25</f>
        <v>0</v>
      </c>
      <c r="H27" s="682">
        <f>économie!W25</f>
        <v>0</v>
      </c>
      <c r="I27" s="407">
        <f>économie!X25</f>
        <v>0.39726027397260266</v>
      </c>
      <c r="J27" s="84"/>
    </row>
    <row r="28" spans="1:10" s="88" customFormat="1" ht="11.25" customHeight="1" x14ac:dyDescent="0.2">
      <c r="A28" s="84"/>
      <c r="B28" s="940" t="s">
        <v>7</v>
      </c>
      <c r="C28" s="925">
        <f>économie!R26</f>
        <v>101717.90376000002</v>
      </c>
      <c r="D28" s="926">
        <f>économie!S26</f>
        <v>0</v>
      </c>
      <c r="E28" s="926">
        <f>économie!T26</f>
        <v>0</v>
      </c>
      <c r="F28" s="926">
        <f>économie!U26</f>
        <v>0</v>
      </c>
      <c r="G28" s="926">
        <f>économie!V26</f>
        <v>0</v>
      </c>
      <c r="H28" s="927">
        <f>économie!W26</f>
        <v>0</v>
      </c>
      <c r="I28" s="349">
        <f>économie!X26</f>
        <v>101717.90376000002</v>
      </c>
      <c r="J28" s="84"/>
    </row>
    <row r="29" spans="1:10" s="88" customFormat="1" ht="11.25" customHeight="1" x14ac:dyDescent="0.2">
      <c r="A29" s="84"/>
      <c r="B29" s="936"/>
      <c r="C29" s="452">
        <f>économie!R27</f>
        <v>0.60273972602739734</v>
      </c>
      <c r="D29" s="453">
        <f>économie!S27</f>
        <v>0</v>
      </c>
      <c r="E29" s="453">
        <f>économie!T27</f>
        <v>0</v>
      </c>
      <c r="F29" s="453">
        <f>économie!U27</f>
        <v>0</v>
      </c>
      <c r="G29" s="453">
        <f>économie!V27</f>
        <v>0</v>
      </c>
      <c r="H29" s="454">
        <f>économie!W27</f>
        <v>0</v>
      </c>
      <c r="I29" s="408">
        <f>économie!X27</f>
        <v>0.60273972602739734</v>
      </c>
      <c r="J29" s="84"/>
    </row>
    <row r="30" spans="1:10" s="84" customFormat="1" ht="5.0999999999999996" customHeight="1" x14ac:dyDescent="0.2">
      <c r="B30" s="91"/>
      <c r="C30" s="216"/>
      <c r="D30" s="216"/>
      <c r="E30" s="216"/>
      <c r="F30" s="216"/>
      <c r="G30" s="216"/>
      <c r="H30" s="216"/>
    </row>
    <row r="31" spans="1:10" ht="11.25" customHeight="1" x14ac:dyDescent="0.2">
      <c r="B31" s="413" t="s">
        <v>150</v>
      </c>
      <c r="G31" s="914" t="s">
        <v>56</v>
      </c>
      <c r="H31" s="863"/>
      <c r="I31" s="347">
        <f>économie!X29</f>
        <v>-422610.77566000039</v>
      </c>
    </row>
    <row r="32" spans="1:10" ht="11.25" customHeight="1" x14ac:dyDescent="0.2">
      <c r="B32" s="413"/>
      <c r="G32" s="903" t="s">
        <v>29</v>
      </c>
      <c r="H32" s="915"/>
      <c r="I32" s="350">
        <f>économie!X30</f>
        <v>-11553.608540000365</v>
      </c>
    </row>
    <row r="33" spans="1:10" ht="11.25" customHeight="1" x14ac:dyDescent="0.2">
      <c r="B33" s="385" t="s">
        <v>151</v>
      </c>
      <c r="C33" s="386"/>
      <c r="D33" s="386"/>
      <c r="E33" s="386"/>
      <c r="F33" s="386"/>
      <c r="G33" s="905"/>
      <c r="H33" s="916"/>
      <c r="I33" s="407">
        <f>économie!X31</f>
        <v>2.7338651083746845E-2</v>
      </c>
    </row>
    <row r="34" spans="1:10" ht="11.25" customHeight="1" x14ac:dyDescent="0.2">
      <c r="B34" s="387" t="s">
        <v>152</v>
      </c>
      <c r="C34" s="386"/>
      <c r="D34" s="386"/>
      <c r="E34" s="386"/>
      <c r="F34" s="386"/>
      <c r="G34" s="907" t="s">
        <v>7</v>
      </c>
      <c r="H34" s="915"/>
      <c r="I34" s="349">
        <f>économie!X32</f>
        <v>-409045.11233000003</v>
      </c>
    </row>
    <row r="35" spans="1:10" ht="11.25" customHeight="1" x14ac:dyDescent="0.2">
      <c r="B35" s="388" t="s">
        <v>153</v>
      </c>
      <c r="C35" s="386"/>
      <c r="D35" s="386"/>
      <c r="E35" s="386"/>
      <c r="F35" s="386"/>
      <c r="G35" s="908"/>
      <c r="H35" s="916"/>
      <c r="I35" s="408">
        <f>économie!X33</f>
        <v>0.96790033735222536</v>
      </c>
    </row>
    <row r="36" spans="1:10" s="84" customFormat="1" ht="5.0999999999999996" customHeight="1" x14ac:dyDescent="0.2">
      <c r="B36" s="921" t="s">
        <v>154</v>
      </c>
      <c r="C36" s="922"/>
      <c r="D36" s="922"/>
      <c r="E36" s="922"/>
      <c r="F36" s="922"/>
      <c r="G36" s="91"/>
      <c r="I36" s="93"/>
    </row>
    <row r="37" spans="1:10" s="94" customFormat="1" ht="11.25" customHeight="1" x14ac:dyDescent="0.2">
      <c r="A37" s="84"/>
      <c r="B37" s="922"/>
      <c r="C37" s="922"/>
      <c r="D37" s="922"/>
      <c r="E37" s="922"/>
      <c r="F37" s="922"/>
      <c r="G37" s="917" t="s">
        <v>59</v>
      </c>
      <c r="H37" s="862"/>
      <c r="I37" s="371">
        <f>économie!X35</f>
        <v>-2173762.73565999</v>
      </c>
      <c r="J37" s="84"/>
    </row>
    <row r="38" spans="1:10" s="94" customFormat="1" ht="11.25" customHeight="1" x14ac:dyDescent="0.2">
      <c r="A38" s="84"/>
      <c r="B38" s="389" t="s">
        <v>155</v>
      </c>
      <c r="C38" s="390"/>
      <c r="D38" s="390"/>
      <c r="E38" s="390"/>
      <c r="F38" s="390"/>
      <c r="G38" s="903" t="s">
        <v>29</v>
      </c>
      <c r="H38" s="904"/>
      <c r="I38" s="372">
        <f>économie!X36</f>
        <v>-464172.1510074957</v>
      </c>
      <c r="J38" s="84"/>
    </row>
    <row r="39" spans="1:10" s="94" customFormat="1" ht="11.25" customHeight="1" x14ac:dyDescent="0.2">
      <c r="A39" s="84"/>
      <c r="B39" s="390" t="s">
        <v>156</v>
      </c>
      <c r="C39" s="390"/>
      <c r="D39" s="390"/>
      <c r="E39" s="390"/>
      <c r="F39" s="390"/>
      <c r="G39" s="905"/>
      <c r="H39" s="906"/>
      <c r="I39" s="373">
        <f>économie!X37</f>
        <v>0.21353395354188251</v>
      </c>
      <c r="J39" s="84"/>
    </row>
    <row r="40" spans="1:10" s="94" customFormat="1" ht="11.25" customHeight="1" x14ac:dyDescent="0.2">
      <c r="A40" s="84"/>
      <c r="B40" s="391" t="s">
        <v>157</v>
      </c>
      <c r="G40" s="907" t="s">
        <v>7</v>
      </c>
      <c r="H40" s="904"/>
      <c r="I40" s="374">
        <f>économie!X38</f>
        <v>-1707578.5298624905</v>
      </c>
      <c r="J40" s="84"/>
    </row>
    <row r="41" spans="1:10" ht="11.25" customHeight="1" x14ac:dyDescent="0.2">
      <c r="B41" s="391"/>
      <c r="G41" s="908"/>
      <c r="H41" s="906"/>
      <c r="I41" s="375">
        <f>économie!X39</f>
        <v>0.78554043725661793</v>
      </c>
    </row>
    <row r="42" spans="1:10" ht="5.0999999999999996" customHeight="1" x14ac:dyDescent="0.2">
      <c r="B42" s="931" t="s">
        <v>158</v>
      </c>
      <c r="C42" s="932"/>
      <c r="D42" s="932"/>
      <c r="E42" s="932"/>
      <c r="F42" s="932"/>
    </row>
    <row r="43" spans="1:10" s="84" customFormat="1" ht="11.25" customHeight="1" x14ac:dyDescent="0.2">
      <c r="B43" s="932"/>
      <c r="C43" s="932"/>
      <c r="D43" s="932"/>
      <c r="E43" s="932"/>
      <c r="F43" s="932"/>
      <c r="G43" s="909" t="s">
        <v>159</v>
      </c>
      <c r="H43" s="862"/>
      <c r="I43" s="393">
        <f>économie!X40</f>
        <v>-8537892.6493124515</v>
      </c>
    </row>
    <row r="44" spans="1:10" ht="12.75" x14ac:dyDescent="0.2">
      <c r="B44" s="387" t="s">
        <v>160</v>
      </c>
      <c r="C44"/>
      <c r="D44"/>
      <c r="E44"/>
      <c r="F44"/>
      <c r="G44" s="84"/>
      <c r="H44" s="84"/>
      <c r="I44" s="84"/>
    </row>
    <row r="45" spans="1:10" ht="12.75" x14ac:dyDescent="0.2">
      <c r="B45" s="392" t="s">
        <v>161</v>
      </c>
      <c r="C45"/>
      <c r="D45"/>
      <c r="E45"/>
      <c r="F45"/>
    </row>
    <row r="46" spans="1:10" ht="12.75" x14ac:dyDescent="0.2">
      <c r="B46" s="391" t="s">
        <v>162</v>
      </c>
      <c r="C46"/>
      <c r="D46"/>
      <c r="E46"/>
      <c r="F46"/>
      <c r="G46" s="92"/>
      <c r="H46" s="92"/>
    </row>
    <row r="47" spans="1:10" ht="5.0999999999999996" customHeight="1" x14ac:dyDescent="0.2">
      <c r="C47" s="92"/>
      <c r="D47" s="92"/>
      <c r="E47" s="92"/>
      <c r="F47" s="92"/>
    </row>
  </sheetData>
  <mergeCells count="39">
    <mergeCell ref="B42:F43"/>
    <mergeCell ref="B5:B6"/>
    <mergeCell ref="B7:B8"/>
    <mergeCell ref="B10:B11"/>
    <mergeCell ref="B14:B15"/>
    <mergeCell ref="B16:B17"/>
    <mergeCell ref="B20:B21"/>
    <mergeCell ref="B22:B23"/>
    <mergeCell ref="B26:B27"/>
    <mergeCell ref="B28:B29"/>
    <mergeCell ref="I10:I11"/>
    <mergeCell ref="C26:H26"/>
    <mergeCell ref="C27:H27"/>
    <mergeCell ref="C28:H28"/>
    <mergeCell ref="C29:H29"/>
    <mergeCell ref="C25:H25"/>
    <mergeCell ref="G37:H37"/>
    <mergeCell ref="C8:E8"/>
    <mergeCell ref="F8:H8"/>
    <mergeCell ref="C10:D10"/>
    <mergeCell ref="E10:F10"/>
    <mergeCell ref="G10:H10"/>
    <mergeCell ref="B36:F37"/>
    <mergeCell ref="G38:H39"/>
    <mergeCell ref="G40:H41"/>
    <mergeCell ref="G43:H43"/>
    <mergeCell ref="C2:E2"/>
    <mergeCell ref="F2:H2"/>
    <mergeCell ref="C4:E4"/>
    <mergeCell ref="F4:H4"/>
    <mergeCell ref="C5:E5"/>
    <mergeCell ref="F5:H5"/>
    <mergeCell ref="C6:E6"/>
    <mergeCell ref="F6:H6"/>
    <mergeCell ref="C7:E7"/>
    <mergeCell ref="F7:H7"/>
    <mergeCell ref="G31:H31"/>
    <mergeCell ref="G32:H33"/>
    <mergeCell ref="G34:H35"/>
  </mergeCells>
  <pageMargins left="7.874015748031496E-2" right="7.874015748031496E-2" top="0" bottom="0.19685039370078741" header="0.31496062992125984" footer="0.31496062992125984"/>
  <pageSetup paperSize="9" fitToHeight="0" orientation="landscape"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10</vt:i4>
      </vt:variant>
    </vt:vector>
  </HeadingPairs>
  <TitlesOfParts>
    <vt:vector size="10" baseType="lpstr">
      <vt:lpstr>tarifs</vt:lpstr>
      <vt:lpstr>tarifs pour 2 500 € bruts</vt:lpstr>
      <vt:lpstr>tarifs pour 5 000 € bruts</vt:lpstr>
      <vt:lpstr>tarifs pour 15 000 € bruts</vt:lpstr>
      <vt:lpstr>économie</vt:lpstr>
      <vt:lpstr>CCFT</vt:lpstr>
      <vt:lpstr>BS 2015</vt:lpstr>
      <vt:lpstr>plafonnement santé</vt:lpstr>
      <vt:lpstr>synthèse économie</vt:lpstr>
      <vt:lpstr>articles accord et précisions</vt:lpstr>
    </vt:vector>
  </TitlesOfParts>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Legrand</cp:lastModifiedBy>
  <cp:revision/>
  <dcterms:created xsi:type="dcterms:W3CDTF">2016-09-27T03:05:04Z</dcterms:created>
  <dcterms:modified xsi:type="dcterms:W3CDTF">2016-11-30T20:11:15Z</dcterms:modified>
</cp:coreProperties>
</file>